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SOLICITAÇÕES DE COMPRA OU SERVIÇO\2024\REFORMA ENFERMARIAS 1º PVTO\DOCUMENTOS PRONTOS - REFORMAS ENFERMARIAS 1º PAVIMENTOS HEMU + ABERTURA ESCADA DE EMERGÊNCIA\"/>
    </mc:Choice>
  </mc:AlternateContent>
  <bookViews>
    <workbookView xWindow="0" yWindow="0" windowWidth="28800" windowHeight="12435" tabRatio="500" firstSheet="1" activeTab="1"/>
  </bookViews>
  <sheets>
    <sheet name="DADOS_" sheetId="1" r:id="rId1"/>
    <sheet name="ANALÍTICA_DES_" sheetId="2" r:id="rId2"/>
    <sheet name="MEMORIAL_DE_CALCULO_ADMINIST" sheetId="3" r:id="rId3"/>
    <sheet name="MEMORIAL DE CÁLCULOS" sheetId="7" r:id="rId4"/>
    <sheet name="MEMORIAL DE CÁLCULO - ESCADA E." sheetId="9" r:id="rId5"/>
    <sheet name="CAFÉ_DA_MANHÃ" sheetId="5" r:id="rId6"/>
    <sheet name="CALCULO_BDI_DESONERADO" sheetId="6" r:id="rId7"/>
    <sheet name="CRONOGRAMA FÍSICO FINANCEIRO" sheetId="8" r:id="rId8"/>
  </sheets>
  <externalReferences>
    <externalReference r:id="rId9"/>
  </externalReferences>
  <definedNames>
    <definedName name="_xlnm.Print_Area" localSheetId="1">ANALÍTICA_DES_!$A$1:$M$115</definedName>
    <definedName name="_xlnm.Print_Area" localSheetId="6">CALCULO_BDI_DESONERADO!$A$1:$G$53</definedName>
    <definedName name="_xlnm.Print_Area" localSheetId="7">'CRONOGRAMA FÍSICO FINANCEIRO'!$A$1:$R$42</definedName>
    <definedName name="_xlnm.Print_Area" localSheetId="4">'MEMORIAL DE CÁLCULO - ESCADA E.'!$A$3:$G$78</definedName>
    <definedName name="_xlnm.Print_Area" localSheetId="3">'MEMORIAL DE CÁLCULOS'!$G$33:$S$82</definedName>
    <definedName name="_xlnm.Print_Area" localSheetId="2">MEMORIAL_DE_CALCULO_ADMINIST!$A$1:$F$35</definedName>
    <definedName name="ETAPAS">#N/A</definedName>
    <definedName name="ITENS">#N/A</definedName>
    <definedName name="Print_Area" localSheetId="1">#REF!</definedName>
    <definedName name="Print_Area" localSheetId="2">#REF!</definedName>
    <definedName name="Print_Area_0" localSheetId="1">#REF!</definedName>
    <definedName name="Print_Area_0" localSheetId="6">#REF!</definedName>
    <definedName name="Print_Area_0" localSheetId="2">#REF!</definedName>
    <definedName name="Print_Titles_0" localSheetId="6">#REF!</definedName>
    <definedName name="Print_Titles_0" localSheetId="2">#REF!</definedName>
  </definedNames>
  <calcPr calcId="152511" iterateDelta="1E-4"/>
</workbook>
</file>

<file path=xl/calcChain.xml><?xml version="1.0" encoding="utf-8"?>
<calcChain xmlns="http://schemas.openxmlformats.org/spreadsheetml/2006/main">
  <c r="D40" i="8" l="1"/>
  <c r="N112" i="2"/>
  <c r="N107" i="2"/>
  <c r="N108" i="2"/>
  <c r="N109" i="2"/>
  <c r="N106" i="2"/>
  <c r="N102" i="2"/>
  <c r="N103" i="2"/>
  <c r="N101" i="2"/>
  <c r="N98" i="2"/>
  <c r="N97" i="2"/>
  <c r="N92" i="2"/>
  <c r="N93" i="2"/>
  <c r="N94" i="2"/>
  <c r="N91" i="2"/>
  <c r="N86" i="2"/>
  <c r="N87" i="2"/>
  <c r="N88" i="2"/>
  <c r="N85" i="2"/>
  <c r="N81" i="2"/>
  <c r="N80" i="2"/>
  <c r="N68" i="2"/>
  <c r="N69" i="2"/>
  <c r="N70" i="2"/>
  <c r="N71" i="2"/>
  <c r="N72" i="2"/>
  <c r="N73" i="2"/>
  <c r="N74" i="2"/>
  <c r="N75" i="2"/>
  <c r="N76" i="2"/>
  <c r="N67" i="2"/>
  <c r="C36" i="8"/>
  <c r="N38" i="8" s="1"/>
  <c r="R37" i="8"/>
  <c r="N114" i="2" l="1"/>
  <c r="G38" i="8"/>
  <c r="K38" i="8"/>
  <c r="O38" i="8"/>
  <c r="H38" i="8"/>
  <c r="L38" i="8"/>
  <c r="P38" i="8"/>
  <c r="E38" i="8"/>
  <c r="I38" i="8"/>
  <c r="M38" i="8"/>
  <c r="Q38" i="8"/>
  <c r="F38" i="8"/>
  <c r="J38" i="8"/>
  <c r="G77" i="9"/>
  <c r="G78" i="9" s="1"/>
  <c r="G73" i="9"/>
  <c r="G74" i="9" s="1"/>
  <c r="G70" i="9"/>
  <c r="G62" i="9"/>
  <c r="E61" i="9"/>
  <c r="D61" i="9"/>
  <c r="G60" i="9"/>
  <c r="E59" i="9"/>
  <c r="G59" i="9" s="1"/>
  <c r="D59" i="9"/>
  <c r="G55" i="9"/>
  <c r="G56" i="9" s="1"/>
  <c r="G52" i="9"/>
  <c r="B49" i="9"/>
  <c r="B48" i="9"/>
  <c r="B46" i="9"/>
  <c r="G45" i="9"/>
  <c r="E39" i="9"/>
  <c r="G39" i="9" s="1"/>
  <c r="G38" i="9"/>
  <c r="G28" i="9"/>
  <c r="G27" i="9"/>
  <c r="G23" i="9"/>
  <c r="G22" i="9"/>
  <c r="G21" i="9"/>
  <c r="G20" i="9"/>
  <c r="G19" i="9"/>
  <c r="G15" i="9"/>
  <c r="G14" i="9"/>
  <c r="B5" i="9"/>
  <c r="B30" i="9" s="1"/>
  <c r="K112" i="2"/>
  <c r="K107" i="2"/>
  <c r="K108" i="2"/>
  <c r="K109" i="2"/>
  <c r="K106" i="2"/>
  <c r="K102" i="2"/>
  <c r="K103" i="2"/>
  <c r="K101" i="2"/>
  <c r="K98" i="2"/>
  <c r="K97" i="2"/>
  <c r="K92" i="2"/>
  <c r="K93" i="2"/>
  <c r="K94" i="2"/>
  <c r="K91" i="2"/>
  <c r="K86" i="2"/>
  <c r="K87" i="2"/>
  <c r="K88" i="2"/>
  <c r="K85" i="2"/>
  <c r="K81" i="2"/>
  <c r="K82" i="2"/>
  <c r="K80" i="2"/>
  <c r="K68" i="2"/>
  <c r="K69" i="2"/>
  <c r="K70" i="2"/>
  <c r="K71" i="2"/>
  <c r="K72" i="2"/>
  <c r="K73" i="2"/>
  <c r="K74" i="2"/>
  <c r="K75" i="2"/>
  <c r="K76" i="2"/>
  <c r="K77" i="2"/>
  <c r="K67" i="2"/>
  <c r="I112" i="2"/>
  <c r="G112" i="2"/>
  <c r="I109" i="2"/>
  <c r="G109" i="2"/>
  <c r="I108" i="2"/>
  <c r="G108" i="2"/>
  <c r="I107" i="2"/>
  <c r="G107" i="2"/>
  <c r="I106" i="2"/>
  <c r="G106" i="2"/>
  <c r="I103" i="2"/>
  <c r="G103" i="2"/>
  <c r="I102" i="2"/>
  <c r="G102" i="2"/>
  <c r="I101" i="2"/>
  <c r="G101" i="2"/>
  <c r="I98" i="2"/>
  <c r="G98" i="2"/>
  <c r="I97" i="2"/>
  <c r="G97" i="2"/>
  <c r="J97" i="2" s="1"/>
  <c r="I94" i="2"/>
  <c r="G94" i="2"/>
  <c r="I93" i="2"/>
  <c r="G93" i="2"/>
  <c r="I92" i="2"/>
  <c r="G92" i="2"/>
  <c r="I91" i="2"/>
  <c r="G91" i="2"/>
  <c r="I88" i="2"/>
  <c r="G88" i="2"/>
  <c r="I87" i="2"/>
  <c r="G87" i="2"/>
  <c r="I86" i="2"/>
  <c r="G86" i="2"/>
  <c r="I85" i="2"/>
  <c r="G85" i="2"/>
  <c r="I82" i="2"/>
  <c r="G82" i="2"/>
  <c r="I81" i="2"/>
  <c r="G81" i="2"/>
  <c r="E80" i="2"/>
  <c r="I80" i="2" s="1"/>
  <c r="I77" i="2"/>
  <c r="J77" i="2" s="1"/>
  <c r="I76" i="2"/>
  <c r="G76" i="2"/>
  <c r="I75" i="2"/>
  <c r="G75" i="2"/>
  <c r="I74" i="2"/>
  <c r="G74" i="2"/>
  <c r="I73" i="2"/>
  <c r="G73" i="2"/>
  <c r="I72" i="2"/>
  <c r="G72" i="2"/>
  <c r="I71" i="2"/>
  <c r="G71" i="2"/>
  <c r="I70" i="2"/>
  <c r="G70" i="2"/>
  <c r="E69" i="2"/>
  <c r="I69" i="2" s="1"/>
  <c r="I68" i="2"/>
  <c r="G68" i="2"/>
  <c r="E67" i="2"/>
  <c r="G67" i="2" s="1"/>
  <c r="R38" i="8" l="1"/>
  <c r="J112" i="2"/>
  <c r="L112" i="2" s="1"/>
  <c r="L113" i="2" s="1"/>
  <c r="J109" i="2"/>
  <c r="J108" i="2"/>
  <c r="J107" i="2"/>
  <c r="L107" i="2" s="1"/>
  <c r="J86" i="2"/>
  <c r="L86" i="2" s="1"/>
  <c r="G61" i="9"/>
  <c r="G63" i="9" s="1"/>
  <c r="G40" i="9"/>
  <c r="G51" i="9" s="1"/>
  <c r="G48" i="9" s="1"/>
  <c r="G49" i="9" s="1"/>
  <c r="G29" i="9"/>
  <c r="G24" i="9"/>
  <c r="I67" i="2"/>
  <c r="J67" i="2" s="1"/>
  <c r="L67" i="2" s="1"/>
  <c r="G69" i="2"/>
  <c r="J69" i="2" s="1"/>
  <c r="J76" i="2"/>
  <c r="G80" i="2"/>
  <c r="J80" i="2" s="1"/>
  <c r="J93" i="2"/>
  <c r="L93" i="2" s="1"/>
  <c r="J103" i="2"/>
  <c r="L103" i="2" s="1"/>
  <c r="J73" i="2"/>
  <c r="J75" i="2"/>
  <c r="L75" i="2" s="1"/>
  <c r="J88" i="2"/>
  <c r="L88" i="2" s="1"/>
  <c r="J94" i="2"/>
  <c r="L94" i="2" s="1"/>
  <c r="J106" i="2"/>
  <c r="J68" i="2"/>
  <c r="J70" i="2"/>
  <c r="L70" i="2" s="1"/>
  <c r="J72" i="2"/>
  <c r="J82" i="2"/>
  <c r="L82" i="2" s="1"/>
  <c r="J87" i="2"/>
  <c r="L87" i="2" s="1"/>
  <c r="J91" i="2"/>
  <c r="L91" i="2" s="1"/>
  <c r="J98" i="2"/>
  <c r="J99" i="2" s="1"/>
  <c r="J102" i="2"/>
  <c r="L102" i="2" s="1"/>
  <c r="J71" i="2"/>
  <c r="L71" i="2" s="1"/>
  <c r="J74" i="2"/>
  <c r="J81" i="2"/>
  <c r="L81" i="2" s="1"/>
  <c r="J85" i="2"/>
  <c r="L85" i="2" s="1"/>
  <c r="J92" i="2"/>
  <c r="L92" i="2" s="1"/>
  <c r="J101" i="2"/>
  <c r="J113" i="2"/>
  <c r="L77" i="2"/>
  <c r="L109" i="2"/>
  <c r="L76" i="2"/>
  <c r="L108" i="2"/>
  <c r="L73" i="2"/>
  <c r="L97" i="2"/>
  <c r="E26" i="8"/>
  <c r="G26" i="8"/>
  <c r="Q26" i="8"/>
  <c r="R26" i="8"/>
  <c r="R28" i="8"/>
  <c r="E29" i="8"/>
  <c r="G29" i="8"/>
  <c r="Q29" i="8"/>
  <c r="R29" i="8" s="1"/>
  <c r="R31" i="8"/>
  <c r="E32" i="8"/>
  <c r="G32" i="8"/>
  <c r="Q32" i="8"/>
  <c r="R32" i="8" s="1"/>
  <c r="R34" i="8"/>
  <c r="E35" i="8"/>
  <c r="G35" i="8"/>
  <c r="Q35" i="8"/>
  <c r="R35" i="8" s="1"/>
  <c r="T33" i="8"/>
  <c r="T34" i="8" s="1"/>
  <c r="T30" i="8"/>
  <c r="T31" i="8" s="1"/>
  <c r="T27" i="8"/>
  <c r="T28" i="8" s="1"/>
  <c r="R25" i="8"/>
  <c r="T24" i="8"/>
  <c r="T25" i="8" s="1"/>
  <c r="S23" i="8"/>
  <c r="R22" i="8"/>
  <c r="T21" i="8"/>
  <c r="T23" i="8" s="1"/>
  <c r="Q20" i="8"/>
  <c r="R20" i="8" s="1"/>
  <c r="G20" i="8"/>
  <c r="E20" i="8"/>
  <c r="R19" i="8"/>
  <c r="T18" i="8"/>
  <c r="T20" i="8" s="1"/>
  <c r="S18" i="8"/>
  <c r="R16" i="8"/>
  <c r="T15" i="8"/>
  <c r="T17" i="8" s="1"/>
  <c r="J110" i="2" l="1"/>
  <c r="L106" i="2"/>
  <c r="L110" i="2" s="1"/>
  <c r="L69" i="2"/>
  <c r="L72" i="2"/>
  <c r="L98" i="2"/>
  <c r="L99" i="2" s="1"/>
  <c r="J104" i="2"/>
  <c r="J89" i="2"/>
  <c r="J83" i="2"/>
  <c r="L80" i="2"/>
  <c r="L83" i="2" s="1"/>
  <c r="L101" i="2"/>
  <c r="L104" i="2" s="1"/>
  <c r="L68" i="2"/>
  <c r="L74" i="2"/>
  <c r="L78" i="2" s="1"/>
  <c r="J78" i="2"/>
  <c r="J95" i="2"/>
  <c r="L89" i="2"/>
  <c r="L95" i="2"/>
  <c r="T19" i="8"/>
  <c r="T35" i="8"/>
  <c r="T29" i="8"/>
  <c r="T26" i="8"/>
  <c r="T32" i="8"/>
  <c r="T16" i="8"/>
  <c r="T22" i="8"/>
  <c r="E31" i="7"/>
  <c r="E30" i="7"/>
  <c r="E29" i="7"/>
  <c r="E13" i="7"/>
  <c r="E7" i="7"/>
  <c r="E14" i="7"/>
  <c r="E42" i="2"/>
  <c r="I42" i="2" s="1"/>
  <c r="E8" i="7"/>
  <c r="E11" i="7"/>
  <c r="E38" i="2" s="1"/>
  <c r="I38" i="2" s="1"/>
  <c r="E6" i="7"/>
  <c r="L82" i="7"/>
  <c r="O82" i="7"/>
  <c r="P82" i="7"/>
  <c r="N82" i="7"/>
  <c r="E27" i="7"/>
  <c r="E26" i="7"/>
  <c r="E23" i="7"/>
  <c r="E52" i="2"/>
  <c r="I52" i="2" s="1"/>
  <c r="E22" i="7"/>
  <c r="E25" i="7"/>
  <c r="E24" i="7"/>
  <c r="E15" i="7"/>
  <c r="E20" i="7"/>
  <c r="E18" i="7"/>
  <c r="E46" i="2"/>
  <c r="I46" i="2" s="1"/>
  <c r="O80" i="7"/>
  <c r="E17" i="7"/>
  <c r="E45" i="2" s="1"/>
  <c r="I45" i="2" s="1"/>
  <c r="E16" i="7"/>
  <c r="E41" i="2"/>
  <c r="E10" i="7"/>
  <c r="E9" i="7"/>
  <c r="E36" i="2"/>
  <c r="E35" i="2"/>
  <c r="G35" i="2" s="1"/>
  <c r="E34" i="2"/>
  <c r="I34" i="2" s="1"/>
  <c r="E33" i="2"/>
  <c r="K77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36" i="7"/>
  <c r="E4" i="7"/>
  <c r="E5" i="7" s="1"/>
  <c r="E32" i="2" s="1"/>
  <c r="F29" i="3"/>
  <c r="F34" i="3"/>
  <c r="E60" i="2"/>
  <c r="E61" i="2"/>
  <c r="E59" i="2"/>
  <c r="E53" i="2"/>
  <c r="I53" i="2" s="1"/>
  <c r="E54" i="2"/>
  <c r="I54" i="2" s="1"/>
  <c r="E55" i="2"/>
  <c r="I55" i="2" s="1"/>
  <c r="E56" i="2"/>
  <c r="E51" i="2"/>
  <c r="E43" i="2"/>
  <c r="E44" i="2"/>
  <c r="I44" i="2" s="1"/>
  <c r="E48" i="2"/>
  <c r="I48" i="2" s="1"/>
  <c r="E37" i="2"/>
  <c r="K42" i="2"/>
  <c r="K35" i="2"/>
  <c r="K55" i="2"/>
  <c r="K54" i="2"/>
  <c r="K47" i="2"/>
  <c r="K53" i="2"/>
  <c r="K52" i="2"/>
  <c r="K46" i="2"/>
  <c r="K48" i="2"/>
  <c r="K45" i="2"/>
  <c r="K44" i="2"/>
  <c r="K34" i="2"/>
  <c r="K38" i="2"/>
  <c r="E18" i="2"/>
  <c r="F8" i="2"/>
  <c r="I35" i="2" l="1"/>
  <c r="J35" i="2" s="1"/>
  <c r="L35" i="2" s="1"/>
  <c r="G44" i="2"/>
  <c r="J44" i="2" s="1"/>
  <c r="E31" i="2"/>
  <c r="G42" i="2"/>
  <c r="J42" i="2" s="1"/>
  <c r="G55" i="2"/>
  <c r="J55" i="2" s="1"/>
  <c r="G54" i="2"/>
  <c r="J54" i="2" s="1"/>
  <c r="G53" i="2"/>
  <c r="J53" i="2" s="1"/>
  <c r="G52" i="2"/>
  <c r="J52" i="2" s="1"/>
  <c r="G46" i="2"/>
  <c r="J46" i="2" s="1"/>
  <c r="G48" i="2"/>
  <c r="J48" i="2" s="1"/>
  <c r="G45" i="2"/>
  <c r="J45" i="2" s="1"/>
  <c r="G38" i="2"/>
  <c r="J38" i="2" s="1"/>
  <c r="L38" i="2" s="1"/>
  <c r="G34" i="2"/>
  <c r="J34" i="2" s="1"/>
  <c r="L34" i="2" s="1"/>
  <c r="K60" i="2"/>
  <c r="K59" i="2"/>
  <c r="K36" i="2"/>
  <c r="K33" i="2"/>
  <c r="P77" i="7"/>
  <c r="O77" i="7"/>
  <c r="N77" i="7"/>
  <c r="M77" i="7"/>
  <c r="L77" i="7"/>
  <c r="J77" i="7"/>
  <c r="I77" i="7"/>
  <c r="S75" i="7"/>
  <c r="S73" i="7"/>
  <c r="R72" i="7"/>
  <c r="Q72" i="7"/>
  <c r="R71" i="7"/>
  <c r="Q71" i="7"/>
  <c r="R70" i="7"/>
  <c r="Q70" i="7"/>
  <c r="S68" i="7"/>
  <c r="Q67" i="7"/>
  <c r="S66" i="7"/>
  <c r="R66" i="7"/>
  <c r="Q66" i="7"/>
  <c r="S65" i="7"/>
  <c r="R65" i="7"/>
  <c r="Q65" i="7"/>
  <c r="R64" i="7"/>
  <c r="Q64" i="7"/>
  <c r="Q63" i="7"/>
  <c r="S62" i="7"/>
  <c r="R62" i="7"/>
  <c r="Q62" i="7"/>
  <c r="S47" i="7"/>
  <c r="S46" i="7"/>
  <c r="S43" i="7"/>
  <c r="S42" i="7"/>
  <c r="S41" i="7"/>
  <c r="S40" i="7"/>
  <c r="S39" i="7"/>
  <c r="S38" i="7"/>
  <c r="S37" i="7"/>
  <c r="S36" i="7"/>
  <c r="Q36" i="7"/>
  <c r="E19" i="7" l="1"/>
  <c r="E47" i="2" s="1"/>
  <c r="M82" i="7"/>
  <c r="L44" i="2"/>
  <c r="E17" i="2"/>
  <c r="C17" i="3"/>
  <c r="L42" i="2"/>
  <c r="L55" i="2"/>
  <c r="L54" i="2"/>
  <c r="L53" i="2"/>
  <c r="L52" i="2"/>
  <c r="L46" i="2"/>
  <c r="L48" i="2"/>
  <c r="L45" i="2"/>
  <c r="Q77" i="7"/>
  <c r="R77" i="7"/>
  <c r="S77" i="7"/>
  <c r="I47" i="2" l="1"/>
  <c r="G47" i="2"/>
  <c r="B9" i="2"/>
  <c r="J47" i="2" l="1"/>
  <c r="L47" i="2" s="1"/>
  <c r="I60" i="2"/>
  <c r="I59" i="2"/>
  <c r="G59" i="2"/>
  <c r="G36" i="2"/>
  <c r="I36" i="2" l="1"/>
  <c r="J36" i="2" s="1"/>
  <c r="L36" i="2" s="1"/>
  <c r="J59" i="2"/>
  <c r="L59" i="2" s="1"/>
  <c r="G60" i="2"/>
  <c r="J60" i="2" s="1"/>
  <c r="L60" i="2" s="1"/>
  <c r="G61" i="2" l="1"/>
  <c r="I61" i="2"/>
  <c r="E21" i="2"/>
  <c r="K18" i="2"/>
  <c r="A32" i="6"/>
  <c r="K19" i="2"/>
  <c r="E11" i="6"/>
  <c r="B9" i="6"/>
  <c r="J22" i="5"/>
  <c r="J20" i="5"/>
  <c r="J17" i="5"/>
  <c r="J14" i="5"/>
  <c r="E12" i="5"/>
  <c r="F30" i="5" s="1"/>
  <c r="J10" i="5"/>
  <c r="F9" i="5"/>
  <c r="E6" i="5"/>
  <c r="E7" i="5" s="1"/>
  <c r="F35" i="3"/>
  <c r="C34" i="3"/>
  <c r="E34" i="3" s="1"/>
  <c r="E35" i="3" s="1"/>
  <c r="F30" i="3"/>
  <c r="E9" i="3"/>
  <c r="B9" i="3"/>
  <c r="B8" i="3"/>
  <c r="B7" i="3"/>
  <c r="D6" i="3"/>
  <c r="B6" i="3"/>
  <c r="I20" i="2"/>
  <c r="G20" i="2"/>
  <c r="I18" i="2"/>
  <c r="G18" i="2"/>
  <c r="E12" i="2"/>
  <c r="B8" i="2"/>
  <c r="K21" i="2" l="1"/>
  <c r="K17" i="2"/>
  <c r="K61" i="2"/>
  <c r="J61" i="2"/>
  <c r="I32" i="2"/>
  <c r="I33" i="2"/>
  <c r="G37" i="2"/>
  <c r="I31" i="2"/>
  <c r="F31" i="5"/>
  <c r="F14" i="5"/>
  <c r="J18" i="2"/>
  <c r="L18" i="2" s="1"/>
  <c r="J20" i="2"/>
  <c r="K56" i="2"/>
  <c r="K51" i="2"/>
  <c r="K41" i="2"/>
  <c r="K37" i="2"/>
  <c r="K31" i="2"/>
  <c r="K43" i="2"/>
  <c r="K32" i="2"/>
  <c r="K25" i="2"/>
  <c r="K20" i="2"/>
  <c r="I21" i="2"/>
  <c r="G21" i="2"/>
  <c r="K24" i="2"/>
  <c r="C29" i="3"/>
  <c r="E29" i="3" s="1"/>
  <c r="E30" i="3" s="1"/>
  <c r="E24" i="2" s="1"/>
  <c r="E25" i="2"/>
  <c r="L61" i="2" l="1"/>
  <c r="L62" i="2" s="1"/>
  <c r="J62" i="2"/>
  <c r="G25" i="2"/>
  <c r="E19" i="5"/>
  <c r="G32" i="2"/>
  <c r="J32" i="2" s="1"/>
  <c r="L32" i="2" s="1"/>
  <c r="I25" i="2"/>
  <c r="L20" i="2"/>
  <c r="I37" i="2"/>
  <c r="J37" i="2" s="1"/>
  <c r="L37" i="2" s="1"/>
  <c r="G31" i="2"/>
  <c r="J31" i="2" s="1"/>
  <c r="G33" i="2"/>
  <c r="J33" i="2" s="1"/>
  <c r="L33" i="2" s="1"/>
  <c r="G56" i="2"/>
  <c r="G41" i="2"/>
  <c r="I41" i="2"/>
  <c r="C19" i="3"/>
  <c r="I43" i="2"/>
  <c r="G43" i="2"/>
  <c r="E18" i="5"/>
  <c r="I24" i="2"/>
  <c r="G24" i="2"/>
  <c r="J21" i="2"/>
  <c r="L21" i="2" s="1"/>
  <c r="L31" i="2" l="1"/>
  <c r="L39" i="2" s="1"/>
  <c r="J39" i="2"/>
  <c r="J25" i="2"/>
  <c r="L25" i="2" s="1"/>
  <c r="I51" i="2"/>
  <c r="G51" i="2"/>
  <c r="J41" i="2"/>
  <c r="J24" i="2"/>
  <c r="I17" i="2"/>
  <c r="G17" i="2"/>
  <c r="I56" i="2"/>
  <c r="J43" i="2"/>
  <c r="L41" i="2" l="1"/>
  <c r="J49" i="2"/>
  <c r="J51" i="2"/>
  <c r="J26" i="2"/>
  <c r="L24" i="2"/>
  <c r="L26" i="2" s="1"/>
  <c r="J17" i="2"/>
  <c r="N17" i="2" s="1"/>
  <c r="J56" i="2"/>
  <c r="L43" i="2"/>
  <c r="L51" i="2" l="1"/>
  <c r="L49" i="2"/>
  <c r="L17" i="2"/>
  <c r="O26" i="2"/>
  <c r="L56" i="2"/>
  <c r="J57" i="2"/>
  <c r="O39" i="2" l="1"/>
  <c r="N63" i="2"/>
  <c r="O49" i="2"/>
  <c r="L57" i="2"/>
  <c r="C21" i="8" s="1"/>
  <c r="M23" i="8" l="1"/>
  <c r="J23" i="8"/>
  <c r="H23" i="8"/>
  <c r="I23" i="8"/>
  <c r="K23" i="8"/>
  <c r="N23" i="8"/>
  <c r="G23" i="8"/>
  <c r="L23" i="8"/>
  <c r="O23" i="8"/>
  <c r="F23" i="8"/>
  <c r="Q23" i="8"/>
  <c r="P23" i="8"/>
  <c r="E23" i="8"/>
  <c r="E36" i="5"/>
  <c r="O57" i="2"/>
  <c r="R23" i="8" l="1"/>
  <c r="I19" i="2"/>
  <c r="G19" i="2"/>
  <c r="J19" i="2" s="1"/>
  <c r="J22" i="2" l="1"/>
  <c r="J115" i="2" s="1"/>
  <c r="E35" i="5" s="1"/>
  <c r="L19" i="2"/>
  <c r="L22" i="2" l="1"/>
  <c r="E37" i="5"/>
  <c r="E4" i="5"/>
  <c r="E9" i="5" s="1"/>
  <c r="E14" i="5" l="1"/>
  <c r="E38" i="5"/>
  <c r="E39" i="5" s="1"/>
  <c r="P23" i="2"/>
  <c r="L115" i="2"/>
  <c r="C15" i="8"/>
  <c r="O22" i="2"/>
  <c r="M109" i="2" l="1"/>
  <c r="M68" i="2"/>
  <c r="M26" i="2"/>
  <c r="M38" i="2"/>
  <c r="M101" i="2"/>
  <c r="M67" i="2"/>
  <c r="M53" i="2"/>
  <c r="M25" i="2"/>
  <c r="M82" i="2"/>
  <c r="M42" i="2"/>
  <c r="M80" i="2"/>
  <c r="M108" i="2"/>
  <c r="M44" i="2"/>
  <c r="M46" i="2"/>
  <c r="M55" i="2"/>
  <c r="M33" i="2"/>
  <c r="M107" i="2"/>
  <c r="M24" i="2"/>
  <c r="M93" i="2"/>
  <c r="M74" i="2"/>
  <c r="M99" i="2"/>
  <c r="M51" i="2"/>
  <c r="M48" i="2"/>
  <c r="M85" i="2"/>
  <c r="M83" i="2"/>
  <c r="M34" i="2"/>
  <c r="M86" i="2"/>
  <c r="M91" i="2"/>
  <c r="M52" i="2"/>
  <c r="M89" i="2"/>
  <c r="M98" i="2"/>
  <c r="M45" i="2"/>
  <c r="M49" i="2"/>
  <c r="M102" i="2"/>
  <c r="M37" i="2"/>
  <c r="M88" i="2"/>
  <c r="M18" i="2"/>
  <c r="M73" i="2"/>
  <c r="M112" i="2"/>
  <c r="M103" i="2"/>
  <c r="M36" i="2"/>
  <c r="M39" i="2"/>
  <c r="M95" i="2"/>
  <c r="M77" i="2"/>
  <c r="M43" i="2"/>
  <c r="M92" i="2"/>
  <c r="M21" i="2"/>
  <c r="M78" i="2"/>
  <c r="M76" i="2"/>
  <c r="M81" i="2"/>
  <c r="M57" i="2"/>
  <c r="M32" i="2"/>
  <c r="M59" i="2"/>
  <c r="M110" i="2"/>
  <c r="M72" i="2"/>
  <c r="M17" i="2"/>
  <c r="M62" i="2"/>
  <c r="M87" i="2"/>
  <c r="M94" i="2"/>
  <c r="M47" i="2"/>
  <c r="M20" i="2"/>
  <c r="M113" i="2"/>
  <c r="M71" i="2"/>
  <c r="M70" i="2"/>
  <c r="M56" i="2"/>
  <c r="M106" i="2"/>
  <c r="M35" i="2"/>
  <c r="M104" i="2"/>
  <c r="M69" i="2"/>
  <c r="M75" i="2"/>
  <c r="M41" i="2"/>
  <c r="M61" i="2"/>
  <c r="M60" i="2"/>
  <c r="M97" i="2"/>
  <c r="M54" i="2"/>
  <c r="M31" i="2"/>
  <c r="M19" i="2"/>
  <c r="M17" i="8"/>
  <c r="M39" i="8" s="1"/>
  <c r="I17" i="8"/>
  <c r="I39" i="8" s="1"/>
  <c r="C40" i="8"/>
  <c r="D15" i="8" s="1"/>
  <c r="N17" i="8"/>
  <c r="N39" i="8" s="1"/>
  <c r="J17" i="8"/>
  <c r="J39" i="8" s="1"/>
  <c r="F17" i="8"/>
  <c r="F39" i="8" s="1"/>
  <c r="Q17" i="8"/>
  <c r="Q39" i="8" s="1"/>
  <c r="Q41" i="8" s="1"/>
  <c r="O17" i="8"/>
  <c r="O39" i="8" s="1"/>
  <c r="K17" i="8"/>
  <c r="K39" i="8" s="1"/>
  <c r="G17" i="8"/>
  <c r="G39" i="8" s="1"/>
  <c r="P17" i="8"/>
  <c r="P39" i="8" s="1"/>
  <c r="P41" i="8" s="1"/>
  <c r="L17" i="8"/>
  <c r="L39" i="8" s="1"/>
  <c r="H17" i="8"/>
  <c r="H39" i="8" s="1"/>
  <c r="E17" i="8"/>
  <c r="M22" i="2"/>
  <c r="G41" i="8" l="1"/>
  <c r="I41" i="8"/>
  <c r="H41" i="8"/>
  <c r="J41" i="8"/>
  <c r="M41" i="8"/>
  <c r="F41" i="8"/>
  <c r="K41" i="8"/>
  <c r="L41" i="8"/>
  <c r="O41" i="8"/>
  <c r="E39" i="8"/>
  <c r="R17" i="8"/>
  <c r="N41" i="8"/>
  <c r="D21" i="8"/>
  <c r="D36" i="8"/>
  <c r="Q42" i="8"/>
  <c r="M115" i="2"/>
  <c r="E40" i="8" l="1"/>
  <c r="E41" i="8"/>
  <c r="F40" i="8" l="1"/>
  <c r="G40" i="8" s="1"/>
  <c r="H40" i="8" s="1"/>
  <c r="I40" i="8" s="1"/>
  <c r="J40" i="8" s="1"/>
  <c r="K40" i="8" s="1"/>
  <c r="L40" i="8" s="1"/>
  <c r="M40" i="8" s="1"/>
  <c r="N40" i="8" s="1"/>
  <c r="O40" i="8" s="1"/>
  <c r="P40" i="8" s="1"/>
  <c r="R39" i="8" s="1"/>
  <c r="E42" i="8"/>
  <c r="F42" i="8" s="1"/>
  <c r="G42" i="8" s="1"/>
  <c r="H42" i="8" s="1"/>
  <c r="I42" i="8" s="1"/>
  <c r="J42" i="8" s="1"/>
  <c r="K42" i="8" s="1"/>
  <c r="L42" i="8" s="1"/>
  <c r="M42" i="8" s="1"/>
  <c r="N42" i="8" s="1"/>
  <c r="O42" i="8" s="1"/>
  <c r="P42" i="8" s="1"/>
  <c r="R41" i="8" s="1"/>
</calcChain>
</file>

<file path=xl/comments1.xml><?xml version="1.0" encoding="utf-8"?>
<comments xmlns="http://schemas.openxmlformats.org/spreadsheetml/2006/main">
  <authors>
    <author/>
  </authors>
  <commentList>
    <comment ref="E9" authorId="0" shapeId="0">
      <text>
        <r>
          <rPr>
            <sz val="10"/>
            <color rgb="FF000000"/>
            <rFont val="Arial"/>
            <family val="2"/>
          </rPr>
          <t>Em Função do Valor dos insumos</t>
        </r>
      </text>
    </comment>
    <comment ref="F9" authorId="0" shapeId="0">
      <text>
        <r>
          <rPr>
            <sz val="10"/>
            <color rgb="FF000000"/>
            <rFont val="Arial"/>
            <family val="2"/>
          </rPr>
          <t>Em Função  da Soma das Horas</t>
        </r>
      </text>
    </comment>
  </commentList>
</comments>
</file>

<file path=xl/sharedStrings.xml><?xml version="1.0" encoding="utf-8"?>
<sst xmlns="http://schemas.openxmlformats.org/spreadsheetml/2006/main" count="790" uniqueCount="410">
  <si>
    <t>Obra</t>
  </si>
  <si>
    <t>Tipo de Serviço</t>
  </si>
  <si>
    <t>HOSPITALAR</t>
  </si>
  <si>
    <t>Serviço</t>
  </si>
  <si>
    <t>Endereço</t>
  </si>
  <si>
    <t>AV. PERIMETRAL, S/ N., QUADRA 37, LOTE74, SALA 103, SETOR OESTE, GOIÂNIA - GO</t>
  </si>
  <si>
    <t>Cliente</t>
  </si>
  <si>
    <t>CPF/CNPJ</t>
  </si>
  <si>
    <t>02.529.964/0003-19</t>
  </si>
  <si>
    <t>Data Criação</t>
  </si>
  <si>
    <t>Informações Institucionais</t>
  </si>
  <si>
    <t>Razão Social</t>
  </si>
  <si>
    <t>CNPJ</t>
  </si>
  <si>
    <t>Inscrição Estadual</t>
  </si>
  <si>
    <t>Responsável</t>
  </si>
  <si>
    <t>Cargo</t>
  </si>
  <si>
    <t>Telefone</t>
  </si>
  <si>
    <t>E-mail</t>
  </si>
  <si>
    <t>TIPO DE SERVIÇO:</t>
  </si>
  <si>
    <t>Data criação:</t>
  </si>
  <si>
    <t>R01</t>
  </si>
  <si>
    <t>Preços expressos em:</t>
  </si>
  <si>
    <t>(R$) REAL</t>
  </si>
  <si>
    <t>SERVIÇO:</t>
  </si>
  <si>
    <t>ENDEREÇO:</t>
  </si>
  <si>
    <t>UNIDADE:</t>
  </si>
  <si>
    <t>CNPJ:</t>
  </si>
  <si>
    <t>ITEM</t>
  </si>
  <si>
    <t>REFERÊNCIA</t>
  </si>
  <si>
    <t>DISCRIMINAÇÃO</t>
  </si>
  <si>
    <t>UNID.</t>
  </si>
  <si>
    <t>QUANT</t>
  </si>
  <si>
    <t>VALOR MATERIAL</t>
  </si>
  <si>
    <t>VALOR MÃO OBRA</t>
  </si>
  <si>
    <t xml:space="preserve">TOTAL </t>
  </si>
  <si>
    <t>BDI</t>
  </si>
  <si>
    <t>TOTAL COM BDI</t>
  </si>
  <si>
    <t>% total</t>
  </si>
  <si>
    <t>GOINFRA</t>
  </si>
  <si>
    <t>Unitário</t>
  </si>
  <si>
    <t>Total</t>
  </si>
  <si>
    <t>ADMINISTRAÇÃO E MENSALISTAS</t>
  </si>
  <si>
    <t>SERVIÇOS PRELIMINARES</t>
  </si>
  <si>
    <t>M2</t>
  </si>
  <si>
    <t>LIMPEZA FINAL DE OBRA - (OBRAS CIVIS)</t>
  </si>
  <si>
    <t>M²</t>
  </si>
  <si>
    <t>1.1</t>
  </si>
  <si>
    <t>COTAÇÃO</t>
  </si>
  <si>
    <t>LOCACÃO DE CONTAINER 2,30 X 6,00 M, ALT. 2,50 M, ALMOXARIFADO, SEM DIVISORIAS INTERNAS E SEM SANITARIO</t>
  </si>
  <si>
    <t>MÊS</t>
  </si>
  <si>
    <t>CAFÉ DA MANHA</t>
  </si>
  <si>
    <t>RE</t>
  </si>
  <si>
    <t>CANTINA - (OBRAS CIVIS)</t>
  </si>
  <si>
    <t>VALE TRANSPORTE</t>
  </si>
  <si>
    <t>UND</t>
  </si>
  <si>
    <t>Total do Item</t>
  </si>
  <si>
    <t>SINAPI</t>
  </si>
  <si>
    <t>H</t>
  </si>
  <si>
    <t xml:space="preserve">REFORMA E MANUTENÇÃO </t>
  </si>
  <si>
    <t>TAPUME COM COMPENSADO DE MADEIRA. AF_05/2018</t>
  </si>
  <si>
    <t>REMOÇÃO DE TAPUME/ CHAPAS METÁLICAS E DE MADEIRA, DE FORMA MANUAL, SEM REAPROVEITAMENTO. AF_12/2017</t>
  </si>
  <si>
    <t>TRANSPORTE DE ENTULHO EM CAÇAMBA ESTACIONÁRIA INCLUSO A CARGA MANUAL</t>
  </si>
  <si>
    <t>M³</t>
  </si>
  <si>
    <t>m²</t>
  </si>
  <si>
    <t>REMOÇÃO DE JANELAS, DE FORMA MANUAL, SEM REAPROVEITAMENTO. AF_12/2017</t>
  </si>
  <si>
    <t>PINTURAS</t>
  </si>
  <si>
    <t>VALOR SEM / BDI</t>
  </si>
  <si>
    <t>VALOR COM / BDI</t>
  </si>
  <si>
    <t>TOTAL GERAL:</t>
  </si>
  <si>
    <t>Tipo de obra:</t>
  </si>
  <si>
    <t>Preço expresso em:</t>
  </si>
  <si>
    <t>Obra:</t>
  </si>
  <si>
    <t>Endereço:</t>
  </si>
  <si>
    <t>Cliente:</t>
  </si>
  <si>
    <t>CPF/CNPJ:</t>
  </si>
  <si>
    <t>DESCRIÇÃO</t>
  </si>
  <si>
    <t>ADMINISTRAÇÃO</t>
  </si>
  <si>
    <t>METRAGEM DA ÁREA DA OBRA</t>
  </si>
  <si>
    <t>TOTAL:</t>
  </si>
  <si>
    <t>PERÍODO TOTAL DE OBRA EM MÊSES:</t>
  </si>
  <si>
    <t>MENSALISTAS</t>
  </si>
  <si>
    <t>ENGENHEIRO - (OBRAS CIVIS)</t>
  </si>
  <si>
    <t>QUANTIDADE DE HORAS TRABALHADAS = 1/5  das horas do mestre de obras</t>
  </si>
  <si>
    <t>HORAS DO MESTRE</t>
  </si>
  <si>
    <t>COEFICIENTE (1/5)</t>
  </si>
  <si>
    <t>TOTAL HORAS</t>
  </si>
  <si>
    <t>HORAS</t>
  </si>
  <si>
    <t>QUANTIDADE DE HORAS TRABALHADAS</t>
  </si>
  <si>
    <t>SEMANA TRAB.</t>
  </si>
  <si>
    <t>HORAS. SEMAN.</t>
  </si>
  <si>
    <t>TOTAL</t>
  </si>
  <si>
    <t>L</t>
  </si>
  <si>
    <t>CÁLCULO DO CAFÉ/CANTINA - PRAZO DA OBRA 2,5 MESES</t>
  </si>
  <si>
    <t>Of</t>
  </si>
  <si>
    <t>Aj</t>
  </si>
  <si>
    <t>Lei Social</t>
  </si>
  <si>
    <t>Valor dos Serviços</t>
  </si>
  <si>
    <t>Ref</t>
  </si>
  <si>
    <t>Soma das 'h'</t>
  </si>
  <si>
    <t>Horas</t>
  </si>
  <si>
    <t>Valor Parcial:</t>
  </si>
  <si>
    <t>Área Real:</t>
  </si>
  <si>
    <t>Dias úteis</t>
  </si>
  <si>
    <t>$ da Obra Nova:</t>
  </si>
  <si>
    <t>/m² s/BDI</t>
  </si>
  <si>
    <t>Meses</t>
  </si>
  <si>
    <t>Área Virtual:</t>
  </si>
  <si>
    <t>Cantina/Café</t>
  </si>
  <si>
    <t>RF</t>
  </si>
  <si>
    <t>Ferramenta:</t>
  </si>
  <si>
    <t>Período da obra:</t>
  </si>
  <si>
    <t>Consumo de água:</t>
  </si>
  <si>
    <t>K=</t>
  </si>
  <si>
    <t>m³/m²</t>
  </si>
  <si>
    <t>Funcionários</t>
  </si>
  <si>
    <t>Operários</t>
  </si>
  <si>
    <t>Consumo de esgoto:</t>
  </si>
  <si>
    <t>CARGA HORARIA MÁXIMA</t>
  </si>
  <si>
    <t>Engenheiro:</t>
  </si>
  <si>
    <t>Horas Trabalhadas</t>
  </si>
  <si>
    <t>Encarregado:</t>
  </si>
  <si>
    <t>Consumo de energia:</t>
  </si>
  <si>
    <t>KWH/m²</t>
  </si>
  <si>
    <t>Vigia:</t>
  </si>
  <si>
    <t>EPI:</t>
  </si>
  <si>
    <t>.       Reforma e Ampliação</t>
  </si>
  <si>
    <t>Pernoite:</t>
  </si>
  <si>
    <t>Sábados + Domingos</t>
  </si>
  <si>
    <t>Pernoite ----</t>
  </si>
  <si>
    <t>Café:</t>
  </si>
  <si>
    <t>Cantina:</t>
  </si>
  <si>
    <t>Prazo da obra</t>
  </si>
  <si>
    <t>Valor da obra sem BDI</t>
  </si>
  <si>
    <t>Serviços GOINFRA</t>
  </si>
  <si>
    <t>Proporção</t>
  </si>
  <si>
    <t>Café/cantina</t>
  </si>
  <si>
    <t>RAZÃO SOCIAL</t>
  </si>
  <si>
    <t>INSC. ESTADUAL</t>
  </si>
  <si>
    <t>RESPONSAVEL</t>
  </si>
  <si>
    <t>CARGO</t>
  </si>
  <si>
    <t>TELEFONES</t>
  </si>
  <si>
    <t>HOSPITAL MATERNO INFANTIL</t>
  </si>
  <si>
    <t>OBRA DE REFORMA</t>
  </si>
  <si>
    <t>Av.Perimetral</t>
  </si>
  <si>
    <t>ITENS</t>
  </si>
  <si>
    <t>SIGLAS</t>
  </si>
  <si>
    <t>% ADOTADO</t>
  </si>
  <si>
    <t>ADMINISTRAÇÃO CENRTAL</t>
  </si>
  <si>
    <t>AC</t>
  </si>
  <si>
    <t>DESPESAS FINANCEIRAS</t>
  </si>
  <si>
    <t>DF</t>
  </si>
  <si>
    <t>SEGUROS</t>
  </si>
  <si>
    <t>S</t>
  </si>
  <si>
    <t>GARANTIAS</t>
  </si>
  <si>
    <t>G</t>
  </si>
  <si>
    <t>RISCOS</t>
  </si>
  <si>
    <t>R</t>
  </si>
  <si>
    <t>COFINS</t>
  </si>
  <si>
    <t>CO</t>
  </si>
  <si>
    <t>TRIBUTOS (ISS, VARIÁVEL DE ACORDO COM O MUNICÍPIO)</t>
  </si>
  <si>
    <t>ISS</t>
  </si>
  <si>
    <t>CPRB</t>
  </si>
  <si>
    <t>PIS</t>
  </si>
  <si>
    <t>BDI COM DESONERAÇÃO</t>
  </si>
  <si>
    <t>BDI DES</t>
  </si>
  <si>
    <t>62 32178935</t>
  </si>
  <si>
    <t>TRIBUTOS (CONTRIBUIÇÃO PREVIDENCIÁRI)</t>
  </si>
  <si>
    <t>ITENS DE MERO FORNECIMENTO DE MATERIAIS E EQUIPAMENTOS</t>
  </si>
  <si>
    <t>ENCARREGADO - (OBRAS CIVIS)</t>
  </si>
  <si>
    <t>ENFERMARIA 19 (CANGURU)</t>
  </si>
  <si>
    <t>REPOUSO</t>
  </si>
  <si>
    <t>SERVIÇO SOCIAL</t>
  </si>
  <si>
    <t>ENFERMARIA 14</t>
  </si>
  <si>
    <t>ENFERMARIA 16</t>
  </si>
  <si>
    <t>INSTALAÇÃO DE NOVAS JANELAS E PORTAS</t>
  </si>
  <si>
    <t>REMOÇÃO DE PORTAS, DE FORMA MANUAL, SEM REAPROVEITAMENTO. AF_12/2017</t>
  </si>
  <si>
    <t>LUCRO</t>
  </si>
  <si>
    <t>HEMU</t>
  </si>
  <si>
    <t>HOSPITAL ESTADUAL DA MULHER - HEMU</t>
  </si>
  <si>
    <t>HOSPITAL ESTADUAL DA MULHER - HEMUI</t>
  </si>
  <si>
    <t>MEMÓRIA DE CÁLCULO</t>
  </si>
  <si>
    <t>QUADRO DE ÁREAS</t>
  </si>
  <si>
    <t>AMBIENTE</t>
  </si>
  <si>
    <t>ÁREA (m²)</t>
  </si>
  <si>
    <t>Nº DE JANELAS A TROCAR 1,00X1,50</t>
  </si>
  <si>
    <t>Nº DE JANELAS A TROCAR 1,00X,70</t>
  </si>
  <si>
    <t>Nº DE PORTAS
0,90X2,10 (AL)</t>
  </si>
  <si>
    <t>Nº DE PORTAS
1,00X2,10 (AL)</t>
  </si>
  <si>
    <t>Nº PORTA DE CORRER 1,00X2,10 (VT)</t>
  </si>
  <si>
    <t xml:space="preserve">DEMOLIÇÃO DE JANELAS (M²) </t>
  </si>
  <si>
    <t>VEDAÇÃO EM ALVENARIA (M²)</t>
  </si>
  <si>
    <t>DEMOLIÇÃO DE PORTAS (M²)</t>
  </si>
  <si>
    <t>POSTO 02</t>
  </si>
  <si>
    <t>ENFERMARIA PRÉ-PARTO</t>
  </si>
  <si>
    <t xml:space="preserve"> BANHEIRO - PRÉ-PARTO</t>
  </si>
  <si>
    <t>ENFERMARIA 08</t>
  </si>
  <si>
    <t>BANHEIRO - ENF 08</t>
  </si>
  <si>
    <t>ENFERMARIA 07</t>
  </si>
  <si>
    <t>BANHEIRO - ENF 07</t>
  </si>
  <si>
    <t>ENFERMARIA 06</t>
  </si>
  <si>
    <t>BANHEIRO - ENF 06</t>
  </si>
  <si>
    <t>ENFERMARIA 09</t>
  </si>
  <si>
    <t>BANHEIRO - ENF 09</t>
  </si>
  <si>
    <t>ENFERMARIA 05</t>
  </si>
  <si>
    <t>BANHEIRO - ENF 05</t>
  </si>
  <si>
    <t>ENFERMARIA 02</t>
  </si>
  <si>
    <t>BANHEIRO - ENF 02</t>
  </si>
  <si>
    <t>ENFERMARIA 01</t>
  </si>
  <si>
    <t>BANHEIRO - ENF 01</t>
  </si>
  <si>
    <t>ENFERMARIA 03</t>
  </si>
  <si>
    <t>BANHEIRO - ENF 03</t>
  </si>
  <si>
    <t>ENFERMARIA ISOLAMENTO</t>
  </si>
  <si>
    <t>BANHEIRO - ENF ISOLAMENTO</t>
  </si>
  <si>
    <t>POSTO 01</t>
  </si>
  <si>
    <t>ENFERMARIA 13</t>
  </si>
  <si>
    <t>BANHEIRO - ENF 13</t>
  </si>
  <si>
    <t>BANHEIRO - ENF 14</t>
  </si>
  <si>
    <t>ENFERMARIA 12</t>
  </si>
  <si>
    <t>BANHEIRO - ENF 12</t>
  </si>
  <si>
    <t>ENFERMARIA 15</t>
  </si>
  <si>
    <t>BANHEIRO - ENF 15</t>
  </si>
  <si>
    <t>PSICOLOGIA/HALL</t>
  </si>
  <si>
    <t>BANHEIRO - ENF 16</t>
  </si>
  <si>
    <t>ENFERMARIA 17</t>
  </si>
  <si>
    <t>BANHEIRO - ENF 17</t>
  </si>
  <si>
    <t>ANTE-SALA/ACOLHIMENTO</t>
  </si>
  <si>
    <t>EXPURGO/DESCANSO RESID.</t>
  </si>
  <si>
    <t>BANHEIRO - ENF 19/COPA</t>
  </si>
  <si>
    <t>ENFERMARIA 18</t>
  </si>
  <si>
    <t>BANHEIRO - ENF 18</t>
  </si>
  <si>
    <t>m</t>
  </si>
  <si>
    <t>SOLEIRA EM GRANITO, LARGURA 15 CM, ESPESSURA 2,0 CM. AF_09/2020</t>
  </si>
  <si>
    <t>PEITORIL LINEAR EM GRANITO OU MÁRMORE, L = 15CM, COMPRIMENTO DE ATÉ 2M, ASSENTADO COM ARGAMASSA 1:6 COM ADITIVO. AF_11/2020</t>
  </si>
  <si>
    <t>PLANILHA CALCULO BDI - ONERADO</t>
  </si>
  <si>
    <t>PLANILHA ORÇAMENTÁRIA DE OBRA - ONERADA</t>
  </si>
  <si>
    <t>METRAGEM TOTAL</t>
  </si>
  <si>
    <t>MEMORIAL DE CALCULO ADMINISTRAÇÃO E MENSALISTAS</t>
  </si>
  <si>
    <t>REFORMA DAS ENFERMARIAS DO 1º PAVIMENTO - HEMU</t>
  </si>
  <si>
    <t>DEMOLIÇÃO DE ARGAMASSAS, DE FORMA DE FORMA MECANIZADA COM MARTELETE, SEM REAPROVEITAMENTO. AF_09/2023</t>
  </si>
  <si>
    <t>m³</t>
  </si>
  <si>
    <t>DEMOLIÇÃO DE REVESTIMENTO CERÂMICO, DE FORMA MECANIZADA COM MARTELETE, SEM REAPROVEITAMENTO. AF_09/2023</t>
  </si>
  <si>
    <t>REVESTIMENTO CERÂMICO PARA PAREDES INTERNAS COM PLACAS TIPO ESMALTADA DE DIMENSÕES 33X45 CM APLICADAS A MEIA ALTURA DAS PAREDES. AF_02/2023_PE</t>
  </si>
  <si>
    <t>PAREDES, REVESTIMENTOS, PEDRAS, BATE MACA</t>
  </si>
  <si>
    <t>ALVENARIA DE VEDAÇÃO DE BLOCOS CERÂMICOS FURADOS NA VERTICAL DE 9X19X39 CM (ESPESSURA 9 CM) E ARGAMASSA DE ASSENTAMENTO COM PREPARO MANUAL.</t>
  </si>
  <si>
    <t>REBOCO - 1CI:3 ARML - (BASE P/TINTA EPOXI / OUTROS)</t>
  </si>
  <si>
    <t>REBOCO PAULISTA C/IMPERMEABILIZANTE A-15 (1CI:4ARMLC+5%</t>
  </si>
  <si>
    <t>BATE MACA 2,5 X 12 CM, ENVERNIZADO E ASSENTADO</t>
  </si>
  <si>
    <t>EMASSAMENTO COM MASSA LÁTEX, APLICAÇÃO EM TETO, UMA DEMÃO, LIXAMENTO MANUAL. AF_04/2023</t>
  </si>
  <si>
    <t>88494</t>
  </si>
  <si>
    <t>EMASSAMENTO COM MASSA LÁTEX, APLICAÇÃO EM PAREDE, UMA DEMÃO, LIXAMENTO MANUAL. AF_04/2023</t>
  </si>
  <si>
    <t>88495</t>
  </si>
  <si>
    <t xml:space="preserve">FUNDO SELADOR ACRÍLICO, APLICAÇÃO MANUAL EM PAREDE, UMA DEMÃO. AF_04/2023 </t>
  </si>
  <si>
    <t>88485</t>
  </si>
  <si>
    <t>APLICAÇÃO MANUAL DE PINTURA COM TINTA TEXTURIZADA ACRÍLICA EM PAREDES EXTERNAS DE CASAS, DUAS CORES. AF_03/2024</t>
  </si>
  <si>
    <t>PINTURA LÁTEX ACRÍLICA PREMIUM, APLICAÇÃO MANUAL EM PAREDES, DUAS DEMÃOS.</t>
  </si>
  <si>
    <t>PINTURA LÁTEX ACRÍLICA PREMIUM, APLICAÇÃO MANUAL EM TETO, DUAS DEMÃOS</t>
  </si>
  <si>
    <t>91341</t>
  </si>
  <si>
    <t>PORTA EM ALUMÍNIO BRANCA DE ABRIR TIPO VENEZIANA COM GUARNIÇÃO, FIXAÇÃO COM PARAFUSOS - FORNECIMENTO E INSTALAÇÃO. AF_12/2019</t>
  </si>
  <si>
    <t>PORTA DE CORRER DE ALUMÍNIO, COM DUAS FOLHAS PARA VIDRO, INCLUSO VIDRO LISO INCOLOR, FECHADURA E PUXADOR, SEM ALIZAR. AF_12/2019</t>
  </si>
  <si>
    <t>100702</t>
  </si>
  <si>
    <t>JANELA DE CORRER EM ALUMINIO ANODIZADO, 02 FOLHAS DE VIDRO,COM FERRAGENS (M.O.FAB.INC.MAT.)</t>
  </si>
  <si>
    <t>180111</t>
  </si>
  <si>
    <t>DEMOLIÇÃO MANUAL DE PISO CERÂMICO INCLUSIVE RETIRADA DE CONTRAPISO SOBRE LASTRO DE CONCRETO COM TRANSPORTE ATÉ CAÇAMBA E CARGA</t>
  </si>
  <si>
    <t>REVESTIMENTO CERÂMICO PARA PISO COM PLACAS TIPO PORCELANATO DE DIMENSÕES 60X60 CM APLICADA EM AMBIENTES DE ÁREA MAIOR QUE 10 M². AF_02/2023_PE</t>
  </si>
  <si>
    <t>PAREDES, PISOS, REVESTIMENTOS, PEDRAS, BATE MACA</t>
  </si>
  <si>
    <t>04 PLACAS PARA VEDAÇÃO DAS PORTAS DE ACESSO (1,2*2,20)</t>
  </si>
  <si>
    <t>MESMA ÁREA DE TAPUMES PARA VEDAÇÃO DAS PORTAS DE ACESSO</t>
  </si>
  <si>
    <t>ÁREAS PAREDE
(m²)</t>
  </si>
  <si>
    <t>PERIMETRO 
(m)</t>
  </si>
  <si>
    <t>QUADRO DE ÁREAS (TOTAL DE DEMOLIÇÃO DE PORTAS)</t>
  </si>
  <si>
    <t>QUADRO DE ÁREAS (TOTAL DE DEMOLIÇÃO DE JANELAS)</t>
  </si>
  <si>
    <t>SOMATÓRIO DE DEMOLIÇÃO X 10CM</t>
  </si>
  <si>
    <t>QUADRO DE ÁREAS (TOTAL DE VEDAÇÃO EM ALVENARIA)</t>
  </si>
  <si>
    <t>QUADRO DE ÁREAS (TOTAL DE VEDAÇÃO EM ALVENARIA) - INTERNA</t>
  </si>
  <si>
    <t>QUADRO DE ÁREAS (TOTAL DE VEDAÇÃO EM ALVENARIA) - EXTERNA</t>
  </si>
  <si>
    <t>TOTAL DE PORTAS DE 1,00 METRO</t>
  </si>
  <si>
    <t>NÚMERO DE PORTAS 1,00 X 1,0 + NÚMERO DE PORTAS DE 0,90 X 0,9</t>
  </si>
  <si>
    <t>(NÚMERO DE JANELAS 1,00 X 1,0) MULTIPLICADO POR 2, POIS O PEITORIL É DE 30CM DE LARGURA</t>
  </si>
  <si>
    <t>SOMATÓRIA DOS PERÍMETROS DAS ENFERMARIAS</t>
  </si>
  <si>
    <t xml:space="preserve">30% DAS ÁREAS DOS AMBIENTES </t>
  </si>
  <si>
    <t>30% DAS ÁREAS DAS PAREDES DAS ENFERMARIAS</t>
  </si>
  <si>
    <t>SOMA DAS ÁREAS DAS PAREDES DAS ENFERMARIAS</t>
  </si>
  <si>
    <t>ÁREA TOTAL</t>
  </si>
  <si>
    <t xml:space="preserve">ÁREA TOTAL </t>
  </si>
  <si>
    <t>Área das paredes dos banheiros (QUADRO DE ÁREAS) EXCETO: ENF 12, 13, 14, 17, 18, 19</t>
  </si>
  <si>
    <t>BANHEIROS DO POSTO 02 / ENFERMARIAS E BANHEIROS DO POSTO 01 (EXCETO: ENF 12, 13, 14, 17, 18, 19) -ÁREA</t>
  </si>
  <si>
    <t>BANHEIROS DO POSTO 02 / ENFERMARIAS E BANHEIROS DO POSTO 01 (EXCETO: ENF 12, 13, 14, 17, 18, 19) - CONSIDERADO MAIS 50% DE PERDA E RODAPÉ</t>
  </si>
  <si>
    <t>Área das paredes dos banheiros (QUADRO DE ÁREAS) EXCETO: ENF 12, 13, 14, 17, 18, 19. CONSIDERADO 25% DE PERDA</t>
  </si>
  <si>
    <t>REFERENCIA: GOINFRA TABELA 249 - CUSTO DE OBRAS CIVIS – ABRIL/2024 - ONERADA                           SINAPI – JULHO/2024 - ONERADA - EMISSÃO 15/08/2024</t>
  </si>
  <si>
    <r>
      <t xml:space="preserve">OBS: BDI DESONERADO - ATENDENDO O ACORDÃO Nº2.622/2013 - TCU </t>
    </r>
    <r>
      <rPr>
        <b/>
        <sz val="14"/>
        <color rgb="FF2E75B6"/>
        <rFont val="Calibri"/>
        <family val="2"/>
      </rPr>
      <t>ONERADOS</t>
    </r>
  </si>
  <si>
    <r>
      <t xml:space="preserve">OBS: BDI REDUZIDO DESONERADO - ATENDENDO O ACORDÃO Nº2.622/2013 - TCU </t>
    </r>
    <r>
      <rPr>
        <b/>
        <sz val="14"/>
        <color rgb="FF2E75B6"/>
        <rFont val="Calibri"/>
        <family val="2"/>
      </rPr>
      <t>ONERADOS</t>
    </r>
  </si>
  <si>
    <t>Serviço:</t>
  </si>
  <si>
    <t>ANO DE REFERÊNCIA:2024</t>
  </si>
  <si>
    <t>Unidade:</t>
  </si>
  <si>
    <t>Preços expressos em R$ (REAL)</t>
  </si>
  <si>
    <t>ESTIMATIVA CRONOGRAMA FÍSICO-FINANCEIRO</t>
  </si>
  <si>
    <t>ÍTEM</t>
  </si>
  <si>
    <t>SERVIÇOS</t>
  </si>
  <si>
    <t>%</t>
  </si>
  <si>
    <t>PERÍODO - MÊS</t>
  </si>
  <si>
    <t>C/ BDI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</si>
  <si>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</si>
  <si>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</si>
  <si>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</si>
  <si>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</si>
  <si>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</si>
  <si>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</si>
  <si>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</si>
  <si>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</si>
  <si>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</si>
  <si>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</si>
  <si>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</si>
  <si>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</si>
  <si>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3°</t>
  </si>
  <si>
    <t>ACUMULADO</t>
  </si>
  <si>
    <t>1.0</t>
  </si>
  <si>
    <t>2.0</t>
  </si>
  <si>
    <t>VALOR TOTAL MENSAL</t>
  </si>
  <si>
    <t>VALOR TOTAL ACUMULADO</t>
  </si>
  <si>
    <t>PERCENTUAL DO MÊS</t>
  </si>
  <si>
    <t>PERCENTUAL ACUMULADO</t>
  </si>
  <si>
    <t>SERVIÇOS PRELIMINARES E ADMINISTRAÇÃO</t>
  </si>
  <si>
    <t>REFORMA DAS ENFERMARIAS</t>
  </si>
  <si>
    <t xml:space="preserve">SERVIÇOS PRELIMINARES </t>
  </si>
  <si>
    <t>DEMOLIÇÃO DE ALVENARIA TIJOLO S/ REAPOVEITAMENTO (VÃOS DE ACESSO ESCADA)</t>
  </si>
  <si>
    <t>DEMOLIÇÃO DE ALVENARIA TIJOLO S/ REAPOVEITAMENTO (VÃOS DE ACESSO A AMBIENTES)</t>
  </si>
  <si>
    <t>DEMOLIÇÃO MANUAL DE REVESTIMENTOS COM AZULEJO C/TRANSP.ATE CB. E CARGA</t>
  </si>
  <si>
    <t>REMOÇÃO MANUAL DE BACIA SANITÁRIA C/ TRANSP. ATÉ CB. E CARGA</t>
  </si>
  <si>
    <t>UN.</t>
  </si>
  <si>
    <t>REMOÇÃO MANUAL DE LAVATÓRIO C/ TRANSP. ATÉ CB. E CARGA</t>
  </si>
  <si>
    <t>REMOÇÃO MANUAL DE METAL SANITÁRIO (VÁLVULAS/SIFÃO/REGISTROS/TORNEIRAS/
OUTROS) C/ TRANSP. ATÉ CB. E CARGA</t>
  </si>
  <si>
    <t>REMOÇÃO MANUAL DE FIO/CABO ELÉTRICO C/ TRANSP. ATÉ CB. E CARGA</t>
  </si>
  <si>
    <t>M</t>
  </si>
  <si>
    <t>REMOÇÃO MANUAL DE ELETRODUTO (ELETRODUTO E CONEXÃO)  C/ TRANSP. ATÉ CB. E
CARGA (EXCLUSO RASGOS E ESCAVAÇÕES)</t>
  </si>
  <si>
    <t>RETIRADA DE TUBULAÇÃO HIDROSSANITÁRIA EMBUTIDA COM CONEXÕES Ø 1/2" A 2"</t>
  </si>
  <si>
    <t xml:space="preserve">ALVENARIAS E DIVISÓRIAS </t>
  </si>
  <si>
    <t>ALVENARIA DE TIJOLO FURADO 1/2 VEZ - 9 x 19 x 19 - ARG. (1CALH:4ARML+100KG DE CI/M3)</t>
  </si>
  <si>
    <t>CUNHAMENTO/ALVENARIAS COM TIJOLO COMUM</t>
  </si>
  <si>
    <t>PAREDE COM PLACAS DE GESSO ACARTONADO (DRYWALL), PARA USO INTERNO, COM DUAS FACES SIMPLES E ESTRUTURA METÁLICA COM GUIAS DUPLAS, SEM VÃOS. AF_06/2017_P</t>
  </si>
  <si>
    <t xml:space="preserve">ESQUADRIAS </t>
  </si>
  <si>
    <t xml:space="preserve">PORTA LISA 80X210 COM ALISAR E PORTAL S/ FERRAGENS </t>
  </si>
  <si>
    <t xml:space="preserve">ESQUADRIA DE ALUMÍNIO MAXMOAR </t>
  </si>
  <si>
    <t xml:space="preserve">FECHADURA (ALAV.) LAFONTE OU EQUIVALENTE </t>
  </si>
  <si>
    <t xml:space="preserve">REVESTIMENTOS DE PAREDE </t>
  </si>
  <si>
    <t>REBOCO PAULISTA A-14 (1CALH:4ARMLC+100kgCI/M3)</t>
  </si>
  <si>
    <t>REVESTIMENTO COM CERÂMICA</t>
  </si>
  <si>
    <t>CHAPISCO COMUM</t>
  </si>
  <si>
    <t>EMBOÇO (1CI:4 ARML)</t>
  </si>
  <si>
    <t xml:space="preserve">FORROS </t>
  </si>
  <si>
    <t>FORRO DE GESSO COMUM</t>
  </si>
  <si>
    <t>TABICA PARA FORRO DE GESSO COMUM</t>
  </si>
  <si>
    <t>REVESTIMENTO DE PISO</t>
  </si>
  <si>
    <t>FITA ANTIDERRAPANTE PARA ÁREAS INTERNAS E EXTERNAS - ALTO TRÁFEGO - USO GERAL</t>
  </si>
  <si>
    <t>GRANITINA 8MM FUNDIDA COM CONTRAPISO (1CI:3ARML) E=2CM E JUNTA PLASTICA 27MM</t>
  </si>
  <si>
    <t>RODAPÉ FUNDIDO DE GRANITINA 7CM</t>
  </si>
  <si>
    <t xml:space="preserve">PINTURA </t>
  </si>
  <si>
    <t>EMASSAMENTO COM MASSA PVA DUAS DEMAOS</t>
  </si>
  <si>
    <t>PINTURA EPOXI 3 DEMÃOS</t>
  </si>
  <si>
    <t>PINT.ESMALTE 2 DEM. ESQ.FERRO (SEM FUNDO ANTICOR.)</t>
  </si>
  <si>
    <t>PINTURA LATEX ACRILICO 2 DEMAOS</t>
  </si>
  <si>
    <t xml:space="preserve">DIVERSOS </t>
  </si>
  <si>
    <t>ABERTURA DA ESCADA DE EMERGÊNCIA</t>
  </si>
  <si>
    <t xml:space="preserve">MEMORIAL DE CALCULO </t>
  </si>
  <si>
    <t>ABERTURA ESCADA DE EMERGÊNCIA</t>
  </si>
  <si>
    <t>DEMOLIÇÃO ALVENARIA ACESSO PARA ESCADA</t>
  </si>
  <si>
    <t>COMP.</t>
  </si>
  <si>
    <t>PÉ DIREITO</t>
  </si>
  <si>
    <t>TOTAL (M2)</t>
  </si>
  <si>
    <t>DEMOLIÇÃO PAREDE DML</t>
  </si>
  <si>
    <t>DEMOLIÇÃO PAREDE WC</t>
  </si>
  <si>
    <t>ACESSO ANTICAMERA</t>
  </si>
  <si>
    <t>ACESSO BANHEIRO</t>
  </si>
  <si>
    <t>DEMOLIÇÃO DE REVESTIMENTO</t>
  </si>
  <si>
    <t>PERÍMETRO</t>
  </si>
  <si>
    <t>DML</t>
  </si>
  <si>
    <t>WC</t>
  </si>
  <si>
    <t>GERAL</t>
  </si>
  <si>
    <t>ALVENARIA</t>
  </si>
  <si>
    <t>FECHAMENTO DOS VÃO DA ANTI-CAMERA</t>
  </si>
  <si>
    <t>ALVENARIA ANTI-CAMERA</t>
  </si>
  <si>
    <t>CUNHAMENTO</t>
  </si>
  <si>
    <t>TOTAL (M)</t>
  </si>
  <si>
    <t>CUNHAMENTO ALVENARIA DE FECHAMENTO DE VÃO</t>
  </si>
  <si>
    <t>CUNHAMENTO ALVENARIA ANTI-CAMERA</t>
  </si>
  <si>
    <t>AMBIENTES CONTEMPLADOS</t>
  </si>
  <si>
    <t>ALVENARIAS EXECUTADAS CONSIDERANDO AMBOS OS LADOS</t>
  </si>
  <si>
    <t xml:space="preserve">PAREDES COM REMOÇÃO DE CERÂMICA </t>
  </si>
  <si>
    <t>REVESTIMENTO PISO</t>
  </si>
  <si>
    <t>GRANITINA NO VÃO DA REMOÇÃO DAS PAREDES</t>
  </si>
  <si>
    <t>PINTURA PAREDE</t>
  </si>
  <si>
    <t>VÃO</t>
  </si>
  <si>
    <t>CORREDOR CIRCULAÇÃO INTERNA DA UNIDADE</t>
  </si>
  <si>
    <t>CINCULAÇÃO NA ESCADA</t>
  </si>
  <si>
    <t>ANTI-CAMÊRA</t>
  </si>
  <si>
    <t>QUARTO ISOLAMENTO</t>
  </si>
  <si>
    <t>PINTURA FORRO</t>
  </si>
  <si>
    <t>BANHEIRO</t>
  </si>
  <si>
    <t>FORRO ESCADA</t>
  </si>
  <si>
    <t>PINTURA PORTAS</t>
  </si>
  <si>
    <t>QUANT.</t>
  </si>
  <si>
    <t>MEDIDA</t>
  </si>
  <si>
    <t>PORTA DE MADEIRA</t>
  </si>
  <si>
    <t>80X2,10</t>
  </si>
  <si>
    <t xml:space="preserve">DRYWALL </t>
  </si>
  <si>
    <t>FECHAMENTO DE PRUMADA DE ESGOTO NA ESCADA</t>
  </si>
  <si>
    <t>PORTA CORTA FOGO COMPLETA - P90 (DUAS PORTAS, POIS O VÃO É DE 180)</t>
  </si>
  <si>
    <t>3.0</t>
  </si>
  <si>
    <t>REFORMAS DAS ENFERMARIAS DO 1º PAVIMENTO + ABERTURA DA ESCADA DE EMERGÊNCIA</t>
  </si>
  <si>
    <t>MANUTENÇÃO PREDIAL - REFORMA DAS ENFERMARIAS DO 1º PAVIMENTO + ABERTURA DE ESCADA DE EMERGÊNCIA</t>
  </si>
  <si>
    <t>PLANILHA CALCULO BDI REDUZIDO - ONERADO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</si>
</sst>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/m/yyyy"/>
    <numFmt numFmtId="165" formatCode="[$R$-416]\ #,##0.00\ ;\-[$R$-416]\ #,##0.00\ ;[$R$-416]&quot; -&quot;00\ ;@\ "/>
    <numFmt numFmtId="166" formatCode="#,##0.00\ ;#,##0.00\ ;\-#\ ;@\ "/>
    <numFmt numFmtId="167" formatCode="#,##0.00\ ;\-#,##0.00\ ;\-00\ ;@\ "/>
    <numFmt numFmtId="168" formatCode="#,##0.00;[Red]#,##0.00"/>
    <numFmt numFmtId="169" formatCode="[$R$-416]\ #,##0.00;[Red]\-[$R$-416]\ #,##0.00"/>
    <numFmt numFmtId="170" formatCode="0.00000"/>
    <numFmt numFmtId="171" formatCode="0.0000"/>
    <numFmt numFmtId="172" formatCode="[$R$-416]&quot; &quot;#,##0.00;[Red]&quot;-&quot;[$R$-416]&quot; &quot;#,##0.00"/>
    <numFmt numFmtId="173" formatCode="#,##0.00&quot; &quot;;#,##0.00&quot; &quot;;&quot;-&quot;#&quot; &quot;;&quot; &quot;@&quot; &quot;"/>
    <numFmt numFmtId="174" formatCode="0.000%"/>
  </numFmts>
  <fonts count="69"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595959"/>
      <name val="Arial"/>
      <family val="2"/>
    </font>
    <font>
      <sz val="10"/>
      <color rgb="FF595959"/>
      <name val="Arial1"/>
      <charset val="1"/>
    </font>
    <font>
      <u/>
      <sz val="11"/>
      <color rgb="FF0563C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FFFFFF"/>
      <name val="Arial"/>
      <family val="2"/>
    </font>
    <font>
      <b/>
      <sz val="11"/>
      <color rgb="FF000000"/>
      <name val="Calibri"/>
      <family val="2"/>
    </font>
    <font>
      <b/>
      <sz val="14"/>
      <color rgb="FF000000"/>
      <name val="Arial2"/>
      <charset val="1"/>
    </font>
    <font>
      <b/>
      <sz val="11"/>
      <color rgb="FF000000"/>
      <name val="Arial2"/>
      <charset val="1"/>
    </font>
    <font>
      <sz val="11"/>
      <color rgb="FF000000"/>
      <name val="Arial2"/>
      <charset val="1"/>
    </font>
    <font>
      <sz val="11"/>
      <color rgb="FF000000"/>
      <name val="Arial"/>
      <family val="2"/>
      <charset val="1"/>
    </font>
    <font>
      <sz val="21"/>
      <color rgb="FFFFFFFF"/>
      <name val="Arial Black"/>
      <family val="2"/>
    </font>
    <font>
      <b/>
      <sz val="13"/>
      <color rgb="FF000000"/>
      <name val="Calibri"/>
      <family val="2"/>
    </font>
    <font>
      <b/>
      <sz val="16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b/>
      <sz val="9"/>
      <color rgb="FFFFFFFF"/>
      <name val="Arial"/>
      <family val="2"/>
    </font>
    <font>
      <b/>
      <sz val="14"/>
      <color rgb="FF2E75B6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i/>
      <sz val="16"/>
      <color rgb="FF000000"/>
      <name val="Calibri"/>
      <family val="2"/>
    </font>
    <font>
      <sz val="10"/>
      <color rgb="FF000000"/>
      <name val="Arial1"/>
    </font>
    <font>
      <b/>
      <i/>
      <u/>
      <sz val="11"/>
      <color rgb="FF000000"/>
      <name val="Calibri"/>
      <family val="2"/>
    </font>
    <font>
      <b/>
      <sz val="11"/>
      <color rgb="FF000000"/>
      <name val="Arial"/>
      <family val="2"/>
    </font>
    <font>
      <sz val="11"/>
      <color theme="1"/>
      <name val="Arial2"/>
      <charset val="1"/>
    </font>
    <font>
      <b/>
      <sz val="12"/>
      <color theme="0"/>
      <name val="Arial"/>
      <family val="2"/>
    </font>
    <font>
      <b/>
      <sz val="12"/>
      <color rgb="FF000000"/>
      <name val="Calibri"/>
      <family val="2"/>
    </font>
    <font>
      <b/>
      <sz val="11"/>
      <color rgb="FF000000"/>
      <name val="Arial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charset val="1"/>
    </font>
    <font>
      <sz val="22"/>
      <color theme="1"/>
      <name val="Arial Black"/>
      <family val="2"/>
      <charset val="1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u/>
      <sz val="11"/>
      <color theme="1"/>
      <name val="Calibri"/>
      <family val="2"/>
    </font>
    <font>
      <b/>
      <sz val="11"/>
      <color theme="1"/>
      <name val="Arial"/>
      <family val="2"/>
      <charset val="1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2"/>
      <charset val="1"/>
    </font>
    <font>
      <b/>
      <sz val="11"/>
      <color theme="1"/>
      <name val="Arial2"/>
      <charset val="1"/>
    </font>
    <font>
      <sz val="11"/>
      <color theme="1"/>
      <name val="Arial"/>
      <family val="2"/>
      <charset val="1"/>
    </font>
    <font>
      <b/>
      <sz val="12"/>
      <color theme="1"/>
      <name val="Arial"/>
      <family val="2"/>
      <charset val="1"/>
    </font>
    <font>
      <sz val="11"/>
      <color theme="1"/>
      <name val="Arial11"/>
      <charset val="1"/>
    </font>
    <font>
      <sz val="9"/>
      <color theme="1"/>
      <name val="Arial"/>
      <family val="2"/>
      <charset val="1"/>
    </font>
    <font>
      <b/>
      <sz val="14"/>
      <color theme="1"/>
      <name val="Arial"/>
      <family val="2"/>
      <charset val="1"/>
    </font>
    <font>
      <b/>
      <sz val="11"/>
      <color theme="1"/>
      <name val="Arial2"/>
    </font>
    <font>
      <sz val="9"/>
      <color rgb="FF000000"/>
      <name val="Arial1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000000"/>
      <name val="Arial"/>
      <charset val="1"/>
    </font>
    <font>
      <sz val="10"/>
      <name val="Arial"/>
      <family val="2"/>
      <charset val="1"/>
    </font>
    <font>
      <b/>
      <sz val="16"/>
      <color rgb="FF000000"/>
      <name val="Arial"/>
      <family val="2"/>
      <charset val="1"/>
    </font>
  </fonts>
  <fills count="38">
    <fill>
      <patternFill patternType="none"/>
    </fill>
    <fill>
      <patternFill patternType="gray125"/>
    </fill>
    <fill>
      <patternFill patternType="solid">
        <fgColor rgb="FF3552E3"/>
        <bgColor rgb="FF4472C4"/>
      </patternFill>
    </fill>
    <fill>
      <patternFill patternType="solid">
        <fgColor rgb="FF687EEA"/>
        <bgColor rgb="FF4472C4"/>
      </patternFill>
    </fill>
    <fill>
      <patternFill patternType="solid">
        <fgColor rgb="FFDEEBF7"/>
        <bgColor rgb="FFDAE3F3"/>
      </patternFill>
    </fill>
    <fill>
      <patternFill patternType="solid">
        <fgColor rgb="FF0070C0"/>
        <bgColor rgb="FF0563C1"/>
      </patternFill>
    </fill>
    <fill>
      <patternFill patternType="solid">
        <fgColor rgb="FFFFFFFF"/>
        <bgColor rgb="FFF2F2F2"/>
      </patternFill>
    </fill>
    <fill>
      <patternFill patternType="solid">
        <fgColor rgb="FF4472C4"/>
        <bgColor rgb="FF2F75B5"/>
      </patternFill>
    </fill>
    <fill>
      <patternFill patternType="solid">
        <fgColor rgb="FFFFFF00"/>
        <bgColor rgb="FFFFF2CC"/>
      </patternFill>
    </fill>
    <fill>
      <patternFill patternType="solid">
        <fgColor rgb="FF00B0F0"/>
        <bgColor rgb="FF33CCCC"/>
      </patternFill>
    </fill>
    <fill>
      <patternFill patternType="solid">
        <fgColor rgb="FFFFF2CC"/>
        <bgColor rgb="FFF2F2F2"/>
      </patternFill>
    </fill>
    <fill>
      <patternFill patternType="solid">
        <fgColor rgb="FFD6DCE5"/>
        <bgColor rgb="FFDBDBDB"/>
      </patternFill>
    </fill>
    <fill>
      <patternFill patternType="solid">
        <fgColor rgb="FFDBDBDB"/>
        <bgColor rgb="FFD9D9D9"/>
      </patternFill>
    </fill>
    <fill>
      <patternFill patternType="solid">
        <fgColor rgb="FFB2B2B2"/>
        <bgColor rgb="FFBFBFBF"/>
      </patternFill>
    </fill>
    <fill>
      <patternFill patternType="solid">
        <fgColor rgb="FFD9D9D9"/>
        <bgColor rgb="FFDBDBDB"/>
      </patternFill>
    </fill>
    <fill>
      <patternFill patternType="solid">
        <fgColor rgb="FFD0CECE"/>
        <bgColor rgb="FFD9D9D9"/>
      </patternFill>
    </fill>
    <fill>
      <patternFill patternType="solid">
        <fgColor rgb="FFE7E6E6"/>
        <bgColor rgb="FFDEEBF7"/>
      </patternFill>
    </fill>
    <fill>
      <patternFill patternType="solid">
        <fgColor rgb="FF2F75B5"/>
        <bgColor rgb="FF2E75B6"/>
      </patternFill>
    </fill>
    <fill>
      <patternFill patternType="solid">
        <fgColor rgb="FFD7E4BD"/>
        <bgColor rgb="FFD8E4BC"/>
      </patternFill>
    </fill>
    <fill>
      <patternFill patternType="solid">
        <fgColor rgb="FFDDDDDD"/>
        <bgColor rgb="FFDBDBDB"/>
      </patternFill>
    </fill>
    <fill>
      <patternFill patternType="solid">
        <fgColor rgb="FFFF9900"/>
        <bgColor rgb="FFFF8080"/>
      </patternFill>
    </fill>
    <fill>
      <patternFill patternType="solid">
        <fgColor theme="4" tint="0.59996337778862885"/>
        <bgColor rgb="FF0563C1"/>
      </patternFill>
    </fill>
    <fill>
      <patternFill patternType="solid">
        <fgColor theme="4" tint="0.59996337778862885"/>
        <bgColor rgb="FF2E75B6"/>
      </patternFill>
    </fill>
    <fill>
      <patternFill patternType="solid">
        <fgColor rgb="FF4472C4"/>
        <bgColor rgb="FF4472C4"/>
      </patternFill>
    </fill>
    <fill>
      <patternFill patternType="solid">
        <fgColor rgb="FF4472C4"/>
        <bgColor indexed="64"/>
      </patternFill>
    </fill>
    <fill>
      <patternFill patternType="solid">
        <fgColor rgb="FF00B0F0"/>
        <bgColor rgb="FF00B0F0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333333"/>
        <bgColor rgb="FF333333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CC"/>
        <bgColor rgb="FFD0CECE"/>
      </patternFill>
    </fill>
  </fills>
  <borders count="114">
    <border>
      <left/>
      <right/>
      <top/>
      <bottom/>
      <diagonal/>
    </border>
    <border>
      <left/>
      <right style="hair">
        <color rgb="FF2E75B6"/>
      </right>
      <top/>
      <bottom/>
      <diagonal/>
    </border>
    <border>
      <left style="hair">
        <color rgb="FF2E75B6"/>
      </left>
      <right style="hair">
        <color rgb="FF2E75B6"/>
      </right>
      <top style="hair">
        <color rgb="FF2E75B6"/>
      </top>
      <bottom style="hair">
        <color rgb="FF2E75B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rgb="FFD0CECE"/>
      </right>
      <top style="hair">
        <color auto="1"/>
      </top>
      <bottom style="hair">
        <color auto="1"/>
      </bottom>
      <diagonal/>
    </border>
    <border>
      <left style="hair">
        <color rgb="FFD0CECE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rgb="FFD0CECE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rgb="FFD0CECE"/>
      </right>
      <top style="hair">
        <color auto="1"/>
      </top>
      <bottom style="hair">
        <color auto="1"/>
      </bottom>
      <diagonal/>
    </border>
    <border>
      <left style="hair">
        <color rgb="FFD0CECE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D0CECE"/>
      </right>
      <top/>
      <bottom style="hair">
        <color rgb="FFD0CECE"/>
      </bottom>
      <diagonal/>
    </border>
    <border>
      <left style="hair">
        <color rgb="FFD0CECE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indexed="64"/>
      </top>
      <bottom style="thin">
        <color rgb="FFFFFFFF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1">
    <xf numFmtId="0" fontId="0" fillId="0" borderId="0"/>
    <xf numFmtId="167" fontId="23" fillId="0" borderId="0" applyBorder="0" applyProtection="0"/>
    <xf numFmtId="165" fontId="23" fillId="0" borderId="0" applyBorder="0" applyProtection="0"/>
    <xf numFmtId="9" fontId="23" fillId="0" borderId="0" applyBorder="0" applyProtection="0"/>
    <xf numFmtId="0" fontId="6" fillId="0" borderId="0" applyBorder="0" applyProtection="0"/>
    <xf numFmtId="0" fontId="23" fillId="0" borderId="0" applyBorder="0" applyProtection="0"/>
    <xf numFmtId="0" fontId="24" fillId="0" borderId="0"/>
    <xf numFmtId="173" fontId="24" fillId="0" borderId="0"/>
    <xf numFmtId="173" fontId="24" fillId="0" borderId="0"/>
    <xf numFmtId="0" fontId="24" fillId="0" borderId="0"/>
    <xf numFmtId="0" fontId="25" fillId="0" borderId="0"/>
    <xf numFmtId="9" fontId="24" fillId="0" borderId="0"/>
    <xf numFmtId="0" fontId="26" fillId="0" borderId="0">
      <alignment horizontal="center"/>
    </xf>
    <xf numFmtId="0" fontId="26" fillId="0" borderId="0">
      <alignment horizontal="center" textRotation="90"/>
    </xf>
    <xf numFmtId="173" fontId="24" fillId="0" borderId="0"/>
    <xf numFmtId="0" fontId="27" fillId="0" borderId="0"/>
    <xf numFmtId="0" fontId="24" fillId="0" borderId="0"/>
    <xf numFmtId="0" fontId="27" fillId="0" borderId="0"/>
    <xf numFmtId="0" fontId="24" fillId="0" borderId="0"/>
    <xf numFmtId="9" fontId="24" fillId="0" borderId="0"/>
    <xf numFmtId="0" fontId="28" fillId="0" borderId="0"/>
    <xf numFmtId="172" fontId="28" fillId="0" borderId="0"/>
    <xf numFmtId="173" fontId="24" fillId="0" borderId="0"/>
    <xf numFmtId="0" fontId="23" fillId="0" borderId="0"/>
    <xf numFmtId="173" fontId="23" fillId="0" borderId="0" applyFont="0" applyBorder="0" applyProtection="0"/>
    <xf numFmtId="173" fontId="23" fillId="0" borderId="0" applyFont="0" applyBorder="0" applyProtection="0"/>
    <xf numFmtId="0" fontId="23" fillId="0" borderId="0" applyNumberFormat="0" applyFont="0" applyBorder="0" applyProtection="0"/>
    <xf numFmtId="0" fontId="6" fillId="0" borderId="0" applyNumberFormat="0" applyBorder="0" applyProtection="0"/>
    <xf numFmtId="9" fontId="23" fillId="0" borderId="0" applyFont="0" applyBorder="0" applyProtection="0"/>
    <xf numFmtId="0" fontId="26" fillId="0" borderId="0" applyNumberFormat="0" applyBorder="0" applyProtection="0">
      <alignment horizontal="center"/>
    </xf>
    <xf numFmtId="0" fontId="26" fillId="0" borderId="0" applyNumberFormat="0" applyBorder="0" applyProtection="0">
      <alignment horizontal="center" textRotation="90"/>
    </xf>
    <xf numFmtId="0" fontId="27" fillId="0" borderId="0" applyNumberFormat="0" applyBorder="0" applyProtection="0"/>
    <xf numFmtId="0" fontId="27" fillId="0" borderId="0" applyNumberFormat="0" applyBorder="0" applyProtection="0"/>
    <xf numFmtId="0" fontId="23" fillId="0" borderId="0" applyNumberFormat="0" applyFont="0" applyBorder="0" applyProtection="0"/>
    <xf numFmtId="0" fontId="28" fillId="0" borderId="0" applyNumberFormat="0" applyBorder="0" applyProtection="0"/>
    <xf numFmtId="172" fontId="28" fillId="0" borderId="0" applyBorder="0" applyProtection="0"/>
    <xf numFmtId="0" fontId="1" fillId="0" borderId="0"/>
    <xf numFmtId="0" fontId="3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538">
    <xf numFmtId="0" fontId="0" fillId="0" borderId="0" xfId="0"/>
    <xf numFmtId="0" fontId="2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 applyProtection="1"/>
    <xf numFmtId="0" fontId="6" fillId="0" borderId="2" xfId="4" applyFont="1" applyBorder="1" applyAlignment="1" applyProtection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164" fontId="7" fillId="6" borderId="0" xfId="0" applyNumberFormat="1" applyFont="1" applyFill="1" applyBorder="1" applyAlignment="1">
      <alignment horizontal="left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right" vertical="center" wrapText="1"/>
    </xf>
    <xf numFmtId="0" fontId="7" fillId="6" borderId="0" xfId="0" applyFont="1" applyFill="1" applyAlignment="1">
      <alignment horizontal="left" vertical="center" wrapText="1"/>
    </xf>
    <xf numFmtId="0" fontId="8" fillId="6" borderId="0" xfId="0" applyFont="1" applyFill="1" applyAlignment="1">
      <alignment horizontal="right" vertical="center" wrapText="1"/>
    </xf>
    <xf numFmtId="164" fontId="7" fillId="6" borderId="0" xfId="0" applyNumberFormat="1" applyFont="1" applyFill="1" applyAlignment="1">
      <alignment horizontal="left" vertical="center" wrapText="1"/>
    </xf>
    <xf numFmtId="3" fontId="6" fillId="6" borderId="19" xfId="4" applyNumberFormat="1" applyFont="1" applyFill="1" applyBorder="1" applyAlignment="1" applyProtection="1">
      <alignment vertical="center" wrapText="1"/>
    </xf>
    <xf numFmtId="0" fontId="8" fillId="6" borderId="20" xfId="0" applyFont="1" applyFill="1" applyBorder="1" applyAlignment="1">
      <alignment horizontal="right" vertical="center" wrapText="1"/>
    </xf>
    <xf numFmtId="0" fontId="8" fillId="6" borderId="15" xfId="0" applyFont="1" applyFill="1" applyBorder="1" applyAlignment="1">
      <alignment horizontal="right" vertical="center" wrapText="1"/>
    </xf>
    <xf numFmtId="0" fontId="7" fillId="6" borderId="15" xfId="0" applyFont="1" applyFill="1" applyBorder="1" applyAlignment="1">
      <alignment horizontal="left" vertical="center" wrapText="1"/>
    </xf>
    <xf numFmtId="4" fontId="8" fillId="6" borderId="15" xfId="0" applyNumberFormat="1" applyFont="1" applyFill="1" applyBorder="1" applyAlignment="1">
      <alignment horizontal="right" vertical="center" wrapText="1"/>
    </xf>
    <xf numFmtId="0" fontId="7" fillId="6" borderId="21" xfId="0" applyFont="1" applyFill="1" applyBorder="1" applyAlignment="1">
      <alignment horizontal="right" vertical="center" wrapText="1"/>
    </xf>
    <xf numFmtId="0" fontId="0" fillId="6" borderId="0" xfId="0" applyFill="1"/>
    <xf numFmtId="0" fontId="0" fillId="0" borderId="0" xfId="0" applyAlignment="1">
      <alignment horizontal="center"/>
    </xf>
    <xf numFmtId="0" fontId="0" fillId="0" borderId="18" xfId="0" applyBorder="1"/>
    <xf numFmtId="4" fontId="8" fillId="19" borderId="17" xfId="0" applyNumberFormat="1" applyFont="1" applyFill="1" applyBorder="1" applyAlignment="1">
      <alignment horizontal="center" vertical="center" wrapText="1"/>
    </xf>
    <xf numFmtId="0" fontId="8" fillId="19" borderId="17" xfId="0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15" xfId="0" applyBorder="1"/>
    <xf numFmtId="0" fontId="14" fillId="0" borderId="0" xfId="0" applyFont="1" applyBorder="1" applyAlignment="1">
      <alignment horizontal="center" vertical="center" wrapText="1"/>
    </xf>
    <xf numFmtId="2" fontId="17" fillId="0" borderId="0" xfId="0" applyNumberFormat="1" applyFont="1" applyAlignment="1">
      <alignment horizontal="center"/>
    </xf>
    <xf numFmtId="170" fontId="0" fillId="0" borderId="0" xfId="0" applyNumberFormat="1"/>
    <xf numFmtId="2" fontId="0" fillId="0" borderId="26" xfId="0" applyNumberFormat="1" applyBorder="1"/>
    <xf numFmtId="0" fontId="0" fillId="0" borderId="28" xfId="0" applyBorder="1"/>
    <xf numFmtId="0" fontId="2" fillId="0" borderId="28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0" xfId="0" applyAlignment="1">
      <alignment horizontal="right"/>
    </xf>
    <xf numFmtId="2" fontId="0" fillId="0" borderId="18" xfId="0" applyNumberFormat="1" applyBorder="1"/>
    <xf numFmtId="2" fontId="0" fillId="0" borderId="0" xfId="0" applyNumberFormat="1" applyAlignment="1">
      <alignment horizontal="center"/>
    </xf>
    <xf numFmtId="171" fontId="0" fillId="0" borderId="19" xfId="0" applyNumberFormat="1" applyBorder="1" applyAlignment="1">
      <alignment horizontal="center"/>
    </xf>
    <xf numFmtId="169" fontId="18" fillId="8" borderId="0" xfId="0" applyNumberFormat="1" applyFont="1" applyFill="1"/>
    <xf numFmtId="0" fontId="0" fillId="0" borderId="19" xfId="0" applyBorder="1"/>
    <xf numFmtId="0" fontId="0" fillId="0" borderId="26" xfId="0" applyBorder="1" applyAlignment="1">
      <alignment horizontal="right"/>
    </xf>
    <xf numFmtId="170" fontId="0" fillId="0" borderId="28" xfId="0" applyNumberFormat="1" applyBorder="1"/>
    <xf numFmtId="0" fontId="0" fillId="0" borderId="27" xfId="0" applyBorder="1"/>
    <xf numFmtId="2" fontId="2" fillId="8" borderId="17" xfId="0" applyNumberFormat="1" applyFont="1" applyFill="1" applyBorder="1"/>
    <xf numFmtId="0" fontId="0" fillId="8" borderId="0" xfId="0" applyFill="1"/>
    <xf numFmtId="0" fontId="2" fillId="0" borderId="18" xfId="0" applyFont="1" applyBorder="1" applyAlignment="1">
      <alignment horizontal="right"/>
    </xf>
    <xf numFmtId="169" fontId="0" fillId="8" borderId="0" xfId="0" applyNumberFormat="1" applyFill="1"/>
    <xf numFmtId="0" fontId="0" fillId="8" borderId="19" xfId="0" applyFill="1" applyBorder="1" applyAlignment="1">
      <alignment horizontal="center"/>
    </xf>
    <xf numFmtId="2" fontId="0" fillId="8" borderId="17" xfId="0" applyNumberFormat="1" applyFill="1" applyBorder="1"/>
    <xf numFmtId="169" fontId="0" fillId="0" borderId="0" xfId="0" applyNumberFormat="1"/>
    <xf numFmtId="0" fontId="0" fillId="0" borderId="15" xfId="0" applyBorder="1" applyAlignment="1">
      <alignment horizontal="right"/>
    </xf>
    <xf numFmtId="0" fontId="0" fillId="0" borderId="21" xfId="0" applyBorder="1"/>
    <xf numFmtId="0" fontId="2" fillId="0" borderId="20" xfId="0" applyFont="1" applyBorder="1" applyAlignment="1">
      <alignment horizontal="right"/>
    </xf>
    <xf numFmtId="170" fontId="2" fillId="0" borderId="15" xfId="0" applyNumberFormat="1" applyFont="1" applyBorder="1"/>
    <xf numFmtId="1" fontId="0" fillId="0" borderId="28" xfId="0" applyNumberFormat="1" applyBorder="1"/>
    <xf numFmtId="170" fontId="0" fillId="0" borderId="27" xfId="0" applyNumberFormat="1" applyBorder="1"/>
    <xf numFmtId="170" fontId="0" fillId="0" borderId="21" xfId="0" applyNumberFormat="1" applyBorder="1"/>
    <xf numFmtId="0" fontId="2" fillId="0" borderId="28" xfId="0" applyFont="1" applyBorder="1" applyAlignment="1">
      <alignment horizontal="right"/>
    </xf>
    <xf numFmtId="0" fontId="0" fillId="0" borderId="20" xfId="0" applyBorder="1"/>
    <xf numFmtId="0" fontId="0" fillId="8" borderId="15" xfId="0" applyFill="1" applyBorder="1"/>
    <xf numFmtId="4" fontId="0" fillId="0" borderId="0" xfId="0" applyNumberFormat="1"/>
    <xf numFmtId="0" fontId="0" fillId="0" borderId="0" xfId="0" applyAlignment="1">
      <alignment horizontal="left"/>
    </xf>
    <xf numFmtId="0" fontId="0" fillId="0" borderId="26" xfId="0" applyBorder="1"/>
    <xf numFmtId="0" fontId="0" fillId="0" borderId="27" xfId="0" applyBorder="1" applyAlignment="1">
      <alignment horizontal="right"/>
    </xf>
    <xf numFmtId="0" fontId="0" fillId="0" borderId="19" xfId="0" applyBorder="1" applyAlignment="1">
      <alignment horizontal="right"/>
    </xf>
    <xf numFmtId="1" fontId="0" fillId="0" borderId="0" xfId="0" applyNumberFormat="1" applyAlignment="1">
      <alignment horizontal="center"/>
    </xf>
    <xf numFmtId="0" fontId="0" fillId="0" borderId="21" xfId="0" applyBorder="1" applyAlignment="1">
      <alignment horizontal="right"/>
    </xf>
    <xf numFmtId="0" fontId="2" fillId="0" borderId="17" xfId="0" applyFont="1" applyBorder="1"/>
    <xf numFmtId="0" fontId="19" fillId="0" borderId="17" xfId="0" applyFont="1" applyBorder="1"/>
    <xf numFmtId="169" fontId="0" fillId="0" borderId="17" xfId="0" applyNumberFormat="1" applyBorder="1"/>
    <xf numFmtId="10" fontId="0" fillId="0" borderId="17" xfId="0" applyNumberFormat="1" applyBorder="1" applyAlignment="1" applyProtection="1"/>
    <xf numFmtId="0" fontId="2" fillId="20" borderId="17" xfId="0" applyFont="1" applyFill="1" applyBorder="1"/>
    <xf numFmtId="1" fontId="0" fillId="20" borderId="17" xfId="0" applyNumberFormat="1" applyFill="1" applyBorder="1"/>
    <xf numFmtId="0" fontId="20" fillId="5" borderId="17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/>
    </xf>
    <xf numFmtId="10" fontId="23" fillId="6" borderId="0" xfId="3" applyNumberFormat="1" applyFill="1" applyBorder="1" applyAlignment="1" applyProtection="1"/>
    <xf numFmtId="0" fontId="8" fillId="25" borderId="30" xfId="0" applyFont="1" applyFill="1" applyBorder="1" applyAlignment="1">
      <alignment horizontal="center" vertical="center" wrapText="1"/>
    </xf>
    <xf numFmtId="0" fontId="8" fillId="25" borderId="30" xfId="0" applyFont="1" applyFill="1" applyBorder="1" applyAlignment="1">
      <alignment horizontal="left" vertical="center" wrapText="1"/>
    </xf>
    <xf numFmtId="0" fontId="8" fillId="25" borderId="30" xfId="7" applyNumberFormat="1" applyFont="1" applyFill="1" applyBorder="1" applyAlignment="1" applyProtection="1">
      <alignment horizontal="center" vertical="center" wrapText="1"/>
    </xf>
    <xf numFmtId="0" fontId="8" fillId="25" borderId="30" xfId="7" applyNumberFormat="1" applyFont="1" applyFill="1" applyBorder="1" applyAlignment="1" applyProtection="1">
      <alignment horizontal="left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28" borderId="39" xfId="0" applyFont="1" applyFill="1" applyBorder="1" applyAlignment="1">
      <alignment horizontal="center" vertical="center" wrapText="1"/>
    </xf>
    <xf numFmtId="0" fontId="0" fillId="28" borderId="40" xfId="0" applyFill="1" applyBorder="1" applyAlignment="1">
      <alignment horizontal="center" vertical="center" wrapText="1"/>
    </xf>
    <xf numFmtId="0" fontId="0" fillId="28" borderId="41" xfId="0" applyFill="1" applyBorder="1" applyAlignment="1">
      <alignment horizontal="center" vertical="center" wrapText="1"/>
    </xf>
    <xf numFmtId="0" fontId="10" fillId="28" borderId="43" xfId="0" applyFont="1" applyFill="1" applyBorder="1" applyAlignment="1">
      <alignment horizontal="center" vertical="center" wrapText="1"/>
    </xf>
    <xf numFmtId="0" fontId="0" fillId="28" borderId="3" xfId="0" applyFill="1" applyBorder="1" applyAlignment="1">
      <alignment horizontal="center" vertical="center" wrapText="1"/>
    </xf>
    <xf numFmtId="0" fontId="0" fillId="28" borderId="44" xfId="0" applyFill="1" applyBorder="1" applyAlignment="1">
      <alignment horizontal="center" vertical="center" wrapText="1"/>
    </xf>
    <xf numFmtId="0" fontId="0" fillId="28" borderId="45" xfId="0" applyFill="1" applyBorder="1" applyAlignment="1">
      <alignment horizontal="center" vertical="center" wrapText="1"/>
    </xf>
    <xf numFmtId="0" fontId="33" fillId="25" borderId="29" xfId="7" applyNumberFormat="1" applyFont="1" applyFill="1" applyBorder="1" applyAlignment="1" applyProtection="1">
      <alignment horizontal="left" vertical="center" wrapText="1"/>
    </xf>
    <xf numFmtId="0" fontId="10" fillId="28" borderId="47" xfId="0" applyFont="1" applyFill="1" applyBorder="1" applyAlignment="1">
      <alignment horizontal="center" vertical="center" wrapText="1"/>
    </xf>
    <xf numFmtId="0" fontId="0" fillId="28" borderId="48" xfId="0" applyFill="1" applyBorder="1" applyAlignment="1">
      <alignment horizontal="center" vertical="center" wrapText="1"/>
    </xf>
    <xf numFmtId="0" fontId="0" fillId="28" borderId="49" xfId="0" applyFill="1" applyBorder="1" applyAlignment="1">
      <alignment horizontal="center" vertical="center" wrapText="1"/>
    </xf>
    <xf numFmtId="0" fontId="0" fillId="29" borderId="40" xfId="0" applyFill="1" applyBorder="1" applyAlignment="1">
      <alignment horizontal="center" vertical="center" wrapText="1"/>
    </xf>
    <xf numFmtId="0" fontId="0" fillId="29" borderId="41" xfId="0" applyFill="1" applyBorder="1" applyAlignment="1">
      <alignment horizontal="center" vertical="center" wrapText="1"/>
    </xf>
    <xf numFmtId="0" fontId="10" fillId="29" borderId="43" xfId="0" applyFont="1" applyFill="1" applyBorder="1" applyAlignment="1">
      <alignment horizontal="center" vertical="center" wrapText="1"/>
    </xf>
    <xf numFmtId="0" fontId="0" fillId="29" borderId="3" xfId="0" applyFill="1" applyBorder="1" applyAlignment="1">
      <alignment horizontal="center" vertical="center" wrapText="1"/>
    </xf>
    <xf numFmtId="0" fontId="0" fillId="29" borderId="44" xfId="0" applyFill="1" applyBorder="1" applyAlignment="1">
      <alignment horizontal="center" vertical="center" wrapText="1"/>
    </xf>
    <xf numFmtId="0" fontId="0" fillId="29" borderId="0" xfId="0" applyFill="1" applyBorder="1" applyAlignment="1">
      <alignment horizontal="center" vertical="center" wrapText="1"/>
    </xf>
    <xf numFmtId="0" fontId="0" fillId="29" borderId="48" xfId="0" applyFill="1" applyBorder="1" applyAlignment="1">
      <alignment horizontal="center" vertical="center" wrapText="1"/>
    </xf>
    <xf numFmtId="0" fontId="0" fillId="29" borderId="49" xfId="0" applyFill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6" borderId="0" xfId="0" applyFont="1" applyFill="1" applyBorder="1" applyAlignment="1">
      <alignment horizontal="left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right" vertical="center" wrapText="1"/>
    </xf>
    <xf numFmtId="0" fontId="0" fillId="0" borderId="0" xfId="0" applyBorder="1"/>
    <xf numFmtId="0" fontId="23" fillId="30" borderId="30" xfId="23" applyFill="1" applyBorder="1"/>
    <xf numFmtId="0" fontId="10" fillId="30" borderId="30" xfId="23" applyFont="1" applyFill="1" applyBorder="1" applyAlignment="1">
      <alignment horizontal="center"/>
    </xf>
    <xf numFmtId="0" fontId="23" fillId="30" borderId="30" xfId="23" applyFill="1" applyBorder="1" applyAlignment="1">
      <alignment horizontal="center"/>
    </xf>
    <xf numFmtId="10" fontId="23" fillId="30" borderId="30" xfId="28" applyNumberFormat="1" applyFont="1" applyFill="1" applyBorder="1" applyAlignment="1" applyProtection="1"/>
    <xf numFmtId="0" fontId="23" fillId="31" borderId="30" xfId="23" applyFill="1" applyBorder="1"/>
    <xf numFmtId="0" fontId="23" fillId="31" borderId="30" xfId="23" applyFill="1" applyBorder="1" applyAlignment="1">
      <alignment horizontal="center"/>
    </xf>
    <xf numFmtId="10" fontId="23" fillId="31" borderId="30" xfId="28" applyNumberFormat="1" applyFont="1" applyFill="1" applyBorder="1" applyAlignment="1" applyProtection="1"/>
    <xf numFmtId="0" fontId="23" fillId="26" borderId="30" xfId="23" applyFill="1" applyBorder="1"/>
    <xf numFmtId="0" fontId="23" fillId="26" borderId="30" xfId="23" applyFill="1" applyBorder="1" applyAlignment="1">
      <alignment horizontal="center"/>
    </xf>
    <xf numFmtId="10" fontId="23" fillId="26" borderId="30" xfId="28" applyNumberFormat="1" applyFont="1" applyFill="1" applyBorder="1" applyAlignment="1" applyProtection="1"/>
    <xf numFmtId="0" fontId="2" fillId="6" borderId="52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51" xfId="0" applyFont="1" applyFill="1" applyBorder="1" applyAlignment="1">
      <alignment horizontal="center" vertical="center" wrapText="1"/>
    </xf>
    <xf numFmtId="0" fontId="23" fillId="30" borderId="30" xfId="23" applyFill="1" applyBorder="1"/>
    <xf numFmtId="0" fontId="23" fillId="30" borderId="30" xfId="23" applyFill="1" applyBorder="1" applyAlignment="1">
      <alignment horizontal="center"/>
    </xf>
    <xf numFmtId="10" fontId="23" fillId="30" borderId="30" xfId="28" applyNumberFormat="1" applyFont="1" applyFill="1" applyBorder="1" applyAlignment="1" applyProtection="1"/>
    <xf numFmtId="0" fontId="23" fillId="31" borderId="30" xfId="23" applyFill="1" applyBorder="1"/>
    <xf numFmtId="0" fontId="23" fillId="31" borderId="30" xfId="23" applyFill="1" applyBorder="1" applyAlignment="1">
      <alignment horizontal="center"/>
    </xf>
    <xf numFmtId="10" fontId="23" fillId="31" borderId="30" xfId="28" applyNumberFormat="1" applyFont="1" applyFill="1" applyBorder="1" applyAlignment="1" applyProtection="1"/>
    <xf numFmtId="0" fontId="23" fillId="26" borderId="30" xfId="23" applyFill="1" applyBorder="1"/>
    <xf numFmtId="0" fontId="23" fillId="26" borderId="30" xfId="23" applyFill="1" applyBorder="1" applyAlignment="1">
      <alignment horizontal="center"/>
    </xf>
    <xf numFmtId="10" fontId="23" fillId="26" borderId="30" xfId="28" applyNumberFormat="1" applyFont="1" applyFill="1" applyBorder="1" applyAlignment="1" applyProtection="1"/>
    <xf numFmtId="0" fontId="8" fillId="6" borderId="51" xfId="0" applyFont="1" applyFill="1" applyBorder="1" applyAlignment="1">
      <alignment horizontal="right" vertical="center" wrapText="1"/>
    </xf>
    <xf numFmtId="164" fontId="7" fillId="6" borderId="52" xfId="0" applyNumberFormat="1" applyFont="1" applyFill="1" applyBorder="1" applyAlignment="1">
      <alignment horizontal="left" vertical="center" wrapText="1"/>
    </xf>
    <xf numFmtId="0" fontId="8" fillId="6" borderId="58" xfId="0" applyFont="1" applyFill="1" applyBorder="1" applyAlignment="1">
      <alignment horizontal="right" vertical="center" wrapText="1"/>
    </xf>
    <xf numFmtId="4" fontId="8" fillId="6" borderId="59" xfId="0" applyNumberFormat="1" applyFont="1" applyFill="1" applyBorder="1" applyAlignment="1">
      <alignment horizontal="right" vertical="center" wrapText="1"/>
    </xf>
    <xf numFmtId="0" fontId="0" fillId="0" borderId="51" xfId="0" applyBorder="1"/>
    <xf numFmtId="0" fontId="7" fillId="0" borderId="52" xfId="0" applyFont="1" applyBorder="1" applyAlignment="1">
      <alignment horizontal="left" vertical="center" wrapText="1"/>
    </xf>
    <xf numFmtId="0" fontId="8" fillId="9" borderId="64" xfId="0" applyFont="1" applyFill="1" applyBorder="1" applyAlignment="1">
      <alignment horizontal="center" vertical="center" wrapText="1"/>
    </xf>
    <xf numFmtId="0" fontId="8" fillId="6" borderId="64" xfId="0" applyFont="1" applyFill="1" applyBorder="1" applyAlignment="1">
      <alignment horizontal="center" vertical="center" wrapText="1"/>
    </xf>
    <xf numFmtId="0" fontId="12" fillId="18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left" vertical="center" wrapText="1"/>
    </xf>
    <xf numFmtId="0" fontId="8" fillId="6" borderId="52" xfId="0" applyFont="1" applyFill="1" applyBorder="1" applyAlignment="1">
      <alignment horizontal="left" vertical="center" wrapText="1"/>
    </xf>
    <xf numFmtId="0" fontId="7" fillId="0" borderId="51" xfId="0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12" fillId="9" borderId="64" xfId="0" applyFont="1" applyFill="1" applyBorder="1" applyAlignment="1">
      <alignment horizontal="center" vertical="center" wrapText="1"/>
    </xf>
    <xf numFmtId="0" fontId="13" fillId="9" borderId="64" xfId="0" applyFont="1" applyFill="1" applyBorder="1" applyAlignment="1">
      <alignment horizontal="center" vertical="center" wrapText="1"/>
    </xf>
    <xf numFmtId="0" fontId="12" fillId="18" borderId="5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8" fillId="19" borderId="66" xfId="0" applyFont="1" applyFill="1" applyBorder="1" applyAlignment="1">
      <alignment horizontal="center" vertical="center" wrapText="1"/>
    </xf>
    <xf numFmtId="0" fontId="8" fillId="19" borderId="69" xfId="0" applyFont="1" applyFill="1" applyBorder="1" applyAlignment="1">
      <alignment horizontal="center" vertical="center" wrapText="1"/>
    </xf>
    <xf numFmtId="0" fontId="8" fillId="19" borderId="70" xfId="0" applyFont="1" applyFill="1" applyBorder="1" applyAlignment="1">
      <alignment horizontal="center" vertical="center" wrapText="1"/>
    </xf>
    <xf numFmtId="49" fontId="23" fillId="27" borderId="3" xfId="0" applyNumberFormat="1" applyFont="1" applyFill="1" applyBorder="1" applyAlignment="1">
      <alignment horizontal="left" vertical="center" wrapText="1"/>
    </xf>
    <xf numFmtId="49" fontId="23" fillId="27" borderId="29" xfId="0" applyNumberFormat="1" applyFont="1" applyFill="1" applyBorder="1" applyAlignment="1">
      <alignment horizontal="left" vertical="center" wrapText="1"/>
    </xf>
    <xf numFmtId="0" fontId="38" fillId="29" borderId="39" xfId="0" applyFont="1" applyFill="1" applyBorder="1" applyAlignment="1">
      <alignment horizontal="center" vertical="center" wrapText="1"/>
    </xf>
    <xf numFmtId="0" fontId="38" fillId="29" borderId="43" xfId="0" applyFont="1" applyFill="1" applyBorder="1" applyAlignment="1">
      <alignment horizontal="center" vertical="center" wrapText="1"/>
    </xf>
    <xf numFmtId="0" fontId="36" fillId="29" borderId="40" xfId="0" applyFont="1" applyFill="1" applyBorder="1" applyAlignment="1">
      <alignment horizontal="center" vertical="center" wrapText="1"/>
    </xf>
    <xf numFmtId="0" fontId="36" fillId="29" borderId="3" xfId="0" applyFont="1" applyFill="1" applyBorder="1" applyAlignment="1">
      <alignment horizontal="center" vertical="center" wrapText="1"/>
    </xf>
    <xf numFmtId="4" fontId="37" fillId="10" borderId="3" xfId="1" applyNumberFormat="1" applyFont="1" applyFill="1" applyBorder="1" applyAlignment="1" applyProtection="1">
      <alignment horizontal="center" vertical="center" wrapText="1"/>
    </xf>
    <xf numFmtId="4" fontId="30" fillId="10" borderId="3" xfId="0" applyNumberFormat="1" applyFont="1" applyFill="1" applyBorder="1" applyAlignment="1">
      <alignment horizontal="center" vertical="center"/>
    </xf>
    <xf numFmtId="0" fontId="23" fillId="0" borderId="39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39" fillId="29" borderId="43" xfId="0" applyFont="1" applyFill="1" applyBorder="1" applyAlignment="1">
      <alignment horizontal="center" vertical="center" wrapText="1"/>
    </xf>
    <xf numFmtId="0" fontId="38" fillId="29" borderId="50" xfId="0" applyFont="1" applyFill="1" applyBorder="1" applyAlignment="1">
      <alignment horizontal="center" vertical="center" wrapText="1"/>
    </xf>
    <xf numFmtId="0" fontId="35" fillId="29" borderId="3" xfId="0" applyFont="1" applyFill="1" applyBorder="1" applyAlignment="1">
      <alignment horizontal="center" vertical="center" wrapText="1"/>
    </xf>
    <xf numFmtId="0" fontId="35" fillId="29" borderId="40" xfId="0" applyFont="1" applyFill="1" applyBorder="1" applyAlignment="1">
      <alignment horizontal="center" vertical="center" wrapText="1"/>
    </xf>
    <xf numFmtId="0" fontId="36" fillId="29" borderId="48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35" fillId="0" borderId="0" xfId="0" applyFont="1"/>
    <xf numFmtId="0" fontId="42" fillId="5" borderId="4" xfId="0" applyFont="1" applyFill="1" applyBorder="1" applyAlignment="1">
      <alignment horizontal="center" vertical="center" wrapText="1"/>
    </xf>
    <xf numFmtId="0" fontId="42" fillId="5" borderId="0" xfId="0" applyFont="1" applyFill="1" applyAlignment="1">
      <alignment horizontal="center" vertical="center" wrapText="1"/>
    </xf>
    <xf numFmtId="0" fontId="43" fillId="6" borderId="5" xfId="0" applyFont="1" applyFill="1" applyBorder="1" applyAlignment="1">
      <alignment horizontal="center" vertical="center" wrapText="1"/>
    </xf>
    <xf numFmtId="0" fontId="44" fillId="0" borderId="5" xfId="4" applyFont="1" applyBorder="1" applyAlignment="1" applyProtection="1">
      <alignment horizontal="center"/>
    </xf>
    <xf numFmtId="0" fontId="43" fillId="6" borderId="0" xfId="0" applyFont="1" applyFill="1" applyAlignment="1">
      <alignment horizontal="center" vertical="center" wrapText="1"/>
    </xf>
    <xf numFmtId="0" fontId="43" fillId="6" borderId="6" xfId="0" applyFont="1" applyFill="1" applyBorder="1" applyAlignment="1">
      <alignment horizontal="center" vertical="center" wrapText="1"/>
    </xf>
    <xf numFmtId="0" fontId="43" fillId="6" borderId="7" xfId="0" applyFont="1" applyFill="1" applyBorder="1" applyAlignment="1">
      <alignment horizontal="center" vertical="center" wrapText="1"/>
    </xf>
    <xf numFmtId="9" fontId="43" fillId="6" borderId="7" xfId="3" applyFont="1" applyFill="1" applyBorder="1" applyAlignment="1" applyProtection="1">
      <alignment horizontal="center" vertical="center" wrapText="1"/>
    </xf>
    <xf numFmtId="0" fontId="43" fillId="6" borderId="8" xfId="0" applyFont="1" applyFill="1" applyBorder="1" applyAlignment="1">
      <alignment horizontal="center" vertical="center" wrapText="1"/>
    </xf>
    <xf numFmtId="0" fontId="45" fillId="6" borderId="9" xfId="0" applyFont="1" applyFill="1" applyBorder="1" applyAlignment="1">
      <alignment horizontal="left" vertical="center" wrapText="1"/>
    </xf>
    <xf numFmtId="164" fontId="37" fillId="6" borderId="0" xfId="0" applyNumberFormat="1" applyFont="1" applyFill="1" applyBorder="1" applyAlignment="1">
      <alignment horizontal="center" vertical="center" wrapText="1"/>
    </xf>
    <xf numFmtId="164" fontId="37" fillId="6" borderId="0" xfId="0" applyNumberFormat="1" applyFont="1" applyFill="1" applyBorder="1" applyAlignment="1">
      <alignment horizontal="left" vertical="center" wrapText="1"/>
    </xf>
    <xf numFmtId="3" fontId="37" fillId="6" borderId="0" xfId="0" applyNumberFormat="1" applyFont="1" applyFill="1" applyBorder="1" applyAlignment="1">
      <alignment horizontal="center" vertical="center" wrapText="1"/>
    </xf>
    <xf numFmtId="0" fontId="37" fillId="6" borderId="10" xfId="0" applyFont="1" applyFill="1" applyBorder="1" applyAlignment="1">
      <alignment horizontal="center" vertical="center" wrapText="1"/>
    </xf>
    <xf numFmtId="0" fontId="37" fillId="6" borderId="0" xfId="0" applyFont="1" applyFill="1" applyBorder="1" applyAlignment="1">
      <alignment horizontal="center" vertical="center" wrapText="1"/>
    </xf>
    <xf numFmtId="0" fontId="37" fillId="6" borderId="0" xfId="0" applyFont="1" applyFill="1" applyBorder="1" applyAlignment="1">
      <alignment vertical="center" wrapText="1"/>
    </xf>
    <xf numFmtId="0" fontId="46" fillId="6" borderId="9" xfId="0" applyFont="1" applyFill="1" applyBorder="1" applyAlignment="1">
      <alignment horizontal="left" vertical="center" wrapText="1"/>
    </xf>
    <xf numFmtId="0" fontId="37" fillId="6" borderId="0" xfId="0" applyFont="1" applyFill="1" applyBorder="1" applyAlignment="1">
      <alignment horizontal="left" vertical="center" wrapText="1"/>
    </xf>
    <xf numFmtId="0" fontId="45" fillId="6" borderId="12" xfId="0" applyFont="1" applyFill="1" applyBorder="1" applyAlignment="1">
      <alignment horizontal="left" vertical="center" wrapText="1"/>
    </xf>
    <xf numFmtId="0" fontId="46" fillId="6" borderId="13" xfId="0" applyFont="1" applyFill="1" applyBorder="1" applyAlignment="1">
      <alignment horizontal="center" vertical="center" wrapText="1"/>
    </xf>
    <xf numFmtId="4" fontId="47" fillId="7" borderId="3" xfId="0" applyNumberFormat="1" applyFont="1" applyFill="1" applyBorder="1" applyAlignment="1">
      <alignment horizontal="center" vertical="center" wrapText="1"/>
    </xf>
    <xf numFmtId="0" fontId="49" fillId="9" borderId="3" xfId="0" applyFont="1" applyFill="1" applyBorder="1" applyAlignment="1">
      <alignment horizontal="center" vertical="center" wrapText="1"/>
    </xf>
    <xf numFmtId="0" fontId="49" fillId="9" borderId="3" xfId="0" applyFont="1" applyFill="1" applyBorder="1" applyAlignment="1">
      <alignment horizontal="left" vertical="center" wrapText="1"/>
    </xf>
    <xf numFmtId="0" fontId="49" fillId="9" borderId="3" xfId="1" applyNumberFormat="1" applyFont="1" applyFill="1" applyBorder="1" applyAlignment="1" applyProtection="1">
      <alignment horizontal="right" vertical="center" wrapText="1"/>
    </xf>
    <xf numFmtId="4" fontId="49" fillId="9" borderId="3" xfId="0" applyNumberFormat="1" applyFont="1" applyFill="1" applyBorder="1" applyAlignment="1">
      <alignment horizontal="center" vertical="center" wrapText="1"/>
    </xf>
    <xf numFmtId="4" fontId="49" fillId="9" borderId="3" xfId="0" applyNumberFormat="1" applyFont="1" applyFill="1" applyBorder="1" applyAlignment="1">
      <alignment horizontal="right" vertical="center" wrapText="1"/>
    </xf>
    <xf numFmtId="168" fontId="30" fillId="9" borderId="3" xfId="0" applyNumberFormat="1" applyFont="1" applyFill="1" applyBorder="1" applyAlignment="1">
      <alignment horizontal="center" vertical="center" wrapText="1"/>
    </xf>
    <xf numFmtId="166" fontId="49" fillId="9" borderId="3" xfId="2" applyNumberFormat="1" applyFont="1" applyFill="1" applyBorder="1" applyAlignment="1" applyProtection="1">
      <alignment horizontal="center" vertical="center" wrapText="1"/>
    </xf>
    <xf numFmtId="9" fontId="49" fillId="9" borderId="3" xfId="3" applyFont="1" applyFill="1" applyBorder="1" applyAlignment="1" applyProtection="1">
      <alignment horizontal="left" vertical="center" wrapText="1"/>
    </xf>
    <xf numFmtId="166" fontId="49" fillId="9" borderId="3" xfId="2" applyNumberFormat="1" applyFont="1" applyFill="1" applyBorder="1" applyAlignment="1" applyProtection="1">
      <alignment horizontal="left" vertical="center" wrapText="1"/>
    </xf>
    <xf numFmtId="9" fontId="30" fillId="9" borderId="3" xfId="3" applyFont="1" applyFill="1" applyBorder="1" applyAlignment="1" applyProtection="1">
      <alignment horizontal="right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left" vertical="center" wrapText="1"/>
    </xf>
    <xf numFmtId="4" fontId="30" fillId="10" borderId="3" xfId="1" applyNumberFormat="1" applyFont="1" applyFill="1" applyBorder="1" applyAlignment="1" applyProtection="1">
      <alignment horizontal="center" vertical="center" wrapText="1"/>
    </xf>
    <xf numFmtId="4" fontId="30" fillId="10" borderId="3" xfId="0" applyNumberFormat="1" applyFont="1" applyFill="1" applyBorder="1" applyAlignment="1">
      <alignment horizontal="center" vertical="center" wrapText="1"/>
    </xf>
    <xf numFmtId="4" fontId="49" fillId="0" borderId="3" xfId="0" applyNumberFormat="1" applyFont="1" applyBorder="1" applyAlignment="1">
      <alignment horizontal="center" vertical="center" wrapText="1"/>
    </xf>
    <xf numFmtId="4" fontId="49" fillId="0" borderId="3" xfId="2" applyNumberFormat="1" applyFont="1" applyBorder="1" applyAlignment="1" applyProtection="1">
      <alignment horizontal="center" vertical="center" wrapText="1"/>
    </xf>
    <xf numFmtId="10" fontId="49" fillId="10" borderId="3" xfId="3" applyNumberFormat="1" applyFont="1" applyFill="1" applyBorder="1" applyAlignment="1" applyProtection="1">
      <alignment horizontal="center" vertical="center" wrapText="1"/>
    </xf>
    <xf numFmtId="10" fontId="30" fillId="0" borderId="3" xfId="3" applyNumberFormat="1" applyFont="1" applyBorder="1" applyAlignment="1" applyProtection="1">
      <alignment horizontal="center" vertical="center" wrapText="1"/>
    </xf>
    <xf numFmtId="4" fontId="47" fillId="0" borderId="16" xfId="2" applyNumberFormat="1" applyFont="1" applyBorder="1" applyAlignment="1" applyProtection="1">
      <alignment horizontal="right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3" xfId="0" applyFont="1" applyBorder="1" applyAlignment="1">
      <alignment wrapText="1"/>
    </xf>
    <xf numFmtId="2" fontId="30" fillId="10" borderId="3" xfId="0" applyNumberFormat="1" applyFont="1" applyFill="1" applyBorder="1" applyAlignment="1">
      <alignment horizontal="center" vertical="center"/>
    </xf>
    <xf numFmtId="4" fontId="30" fillId="10" borderId="3" xfId="1" applyNumberFormat="1" applyFont="1" applyFill="1" applyBorder="1" applyAlignment="1" applyProtection="1">
      <alignment horizontal="center" vertical="center"/>
    </xf>
    <xf numFmtId="4" fontId="35" fillId="0" borderId="0" xfId="0" applyNumberFormat="1" applyFont="1" applyAlignment="1">
      <alignment vertical="center" wrapText="1"/>
    </xf>
    <xf numFmtId="49" fontId="30" fillId="11" borderId="3" xfId="0" applyNumberFormat="1" applyFont="1" applyFill="1" applyBorder="1" applyAlignment="1" applyProtection="1">
      <alignment horizontal="center" vertical="top"/>
      <protection locked="0"/>
    </xf>
    <xf numFmtId="2" fontId="30" fillId="11" borderId="3" xfId="0" applyNumberFormat="1" applyFont="1" applyFill="1" applyBorder="1" applyAlignment="1">
      <alignment horizontal="center" vertical="center" wrapText="1"/>
    </xf>
    <xf numFmtId="4" fontId="30" fillId="11" borderId="3" xfId="0" applyNumberFormat="1" applyFont="1" applyFill="1" applyBorder="1" applyAlignment="1">
      <alignment horizontal="left" vertical="center" wrapText="1"/>
    </xf>
    <xf numFmtId="4" fontId="30" fillId="11" borderId="3" xfId="0" applyNumberFormat="1" applyFont="1" applyFill="1" applyBorder="1" applyAlignment="1">
      <alignment horizontal="center" vertical="center"/>
    </xf>
    <xf numFmtId="166" fontId="30" fillId="11" borderId="3" xfId="1" applyNumberFormat="1" applyFont="1" applyFill="1" applyBorder="1" applyAlignment="1" applyProtection="1">
      <alignment horizontal="center" vertical="top"/>
      <protection locked="0"/>
    </xf>
    <xf numFmtId="4" fontId="49" fillId="11" borderId="3" xfId="0" applyNumberFormat="1" applyFont="1" applyFill="1" applyBorder="1" applyAlignment="1">
      <alignment horizontal="center" vertical="center" wrapText="1"/>
    </xf>
    <xf numFmtId="4" fontId="49" fillId="11" borderId="3" xfId="2" applyNumberFormat="1" applyFont="1" applyFill="1" applyBorder="1" applyAlignment="1" applyProtection="1">
      <alignment horizontal="center" vertical="center" wrapText="1"/>
    </xf>
    <xf numFmtId="10" fontId="30" fillId="14" borderId="3" xfId="3" applyNumberFormat="1" applyFont="1" applyFill="1" applyBorder="1" applyAlignment="1" applyProtection="1">
      <alignment horizontal="center" vertical="center" wrapText="1"/>
    </xf>
    <xf numFmtId="0" fontId="35" fillId="11" borderId="0" xfId="0" applyFont="1" applyFill="1" applyAlignment="1">
      <alignment vertical="center" wrapText="1"/>
    </xf>
    <xf numFmtId="4" fontId="35" fillId="11" borderId="0" xfId="0" applyNumberFormat="1" applyFont="1" applyFill="1" applyAlignment="1">
      <alignment vertical="center" wrapText="1"/>
    </xf>
    <xf numFmtId="0" fontId="49" fillId="9" borderId="3" xfId="1" applyNumberFormat="1" applyFont="1" applyFill="1" applyBorder="1" applyAlignment="1" applyProtection="1">
      <alignment horizontal="center" vertical="center" wrapText="1"/>
    </xf>
    <xf numFmtId="10" fontId="30" fillId="9" borderId="3" xfId="3" applyNumberFormat="1" applyFont="1" applyFill="1" applyBorder="1" applyAlignment="1" applyProtection="1">
      <alignment horizontal="center" vertical="center" wrapText="1"/>
    </xf>
    <xf numFmtId="0" fontId="49" fillId="12" borderId="3" xfId="0" applyFont="1" applyFill="1" applyBorder="1" applyAlignment="1">
      <alignment horizontal="center" vertical="center" wrapText="1"/>
    </xf>
    <xf numFmtId="0" fontId="49" fillId="12" borderId="3" xfId="0" applyFont="1" applyFill="1" applyBorder="1" applyAlignment="1">
      <alignment horizontal="left" vertical="center" wrapText="1"/>
    </xf>
    <xf numFmtId="4" fontId="49" fillId="12" borderId="3" xfId="0" applyNumberFormat="1" applyFont="1" applyFill="1" applyBorder="1" applyAlignment="1">
      <alignment horizontal="center" vertical="center" wrapText="1"/>
    </xf>
    <xf numFmtId="4" fontId="49" fillId="12" borderId="3" xfId="2" applyNumberFormat="1" applyFont="1" applyFill="1" applyBorder="1" applyAlignment="1" applyProtection="1">
      <alignment horizontal="center" vertical="center" wrapText="1"/>
    </xf>
    <xf numFmtId="0" fontId="46" fillId="12" borderId="3" xfId="0" applyFont="1" applyFill="1" applyBorder="1" applyAlignment="1">
      <alignment horizontal="left" vertical="center" wrapText="1"/>
    </xf>
    <xf numFmtId="0" fontId="46" fillId="12" borderId="3" xfId="0" applyFont="1" applyFill="1" applyBorder="1" applyAlignment="1">
      <alignment horizontal="center" vertical="center" wrapText="1"/>
    </xf>
    <xf numFmtId="4" fontId="46" fillId="12" borderId="3" xfId="0" applyNumberFormat="1" applyFont="1" applyFill="1" applyBorder="1" applyAlignment="1">
      <alignment horizontal="right" vertical="center" wrapText="1"/>
    </xf>
    <xf numFmtId="4" fontId="46" fillId="12" borderId="3" xfId="0" applyNumberFormat="1" applyFont="1" applyFill="1" applyBorder="1" applyAlignment="1">
      <alignment horizontal="center" vertical="center" wrapText="1"/>
    </xf>
    <xf numFmtId="4" fontId="47" fillId="12" borderId="3" xfId="2" applyNumberFormat="1" applyFont="1" applyFill="1" applyBorder="1" applyAlignment="1" applyProtection="1">
      <alignment horizontal="right" vertical="center" wrapText="1"/>
    </xf>
    <xf numFmtId="4" fontId="47" fillId="12" borderId="3" xfId="2" applyNumberFormat="1" applyFont="1" applyFill="1" applyBorder="1" applyAlignment="1" applyProtection="1">
      <alignment horizontal="center" vertical="center" wrapText="1"/>
    </xf>
    <xf numFmtId="9" fontId="47" fillId="12" borderId="3" xfId="3" applyFont="1" applyFill="1" applyBorder="1" applyAlignment="1" applyProtection="1">
      <alignment horizontal="center" vertical="center" wrapText="1"/>
    </xf>
    <xf numFmtId="10" fontId="30" fillId="15" borderId="3" xfId="3" applyNumberFormat="1" applyFont="1" applyFill="1" applyBorder="1" applyAlignment="1" applyProtection="1">
      <alignment horizontal="center" vertical="center" wrapText="1"/>
    </xf>
    <xf numFmtId="0" fontId="39" fillId="0" borderId="0" xfId="0" applyFont="1" applyAlignment="1">
      <alignment vertical="center" wrapText="1"/>
    </xf>
    <xf numFmtId="168" fontId="49" fillId="9" borderId="3" xfId="0" applyNumberFormat="1" applyFont="1" applyFill="1" applyBorder="1" applyAlignment="1">
      <alignment horizontal="center" vertical="center" wrapText="1"/>
    </xf>
    <xf numFmtId="9" fontId="49" fillId="9" borderId="3" xfId="3" applyFont="1" applyFill="1" applyBorder="1" applyAlignment="1" applyProtection="1">
      <alignment horizontal="right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left" vertical="center" wrapText="1"/>
    </xf>
    <xf numFmtId="4" fontId="37" fillId="10" borderId="3" xfId="0" applyNumberFormat="1" applyFont="1" applyFill="1" applyBorder="1" applyAlignment="1">
      <alignment horizontal="center" vertical="center" wrapText="1"/>
    </xf>
    <xf numFmtId="4" fontId="47" fillId="0" borderId="3" xfId="2" applyNumberFormat="1" applyFont="1" applyBorder="1" applyAlignment="1" applyProtection="1">
      <alignment horizontal="center" vertical="center" wrapText="1"/>
    </xf>
    <xf numFmtId="10" fontId="49" fillId="10" borderId="3" xfId="3" applyNumberFormat="1" applyFont="1" applyFill="1" applyBorder="1" applyAlignment="1" applyProtection="1">
      <alignment horizontal="right" vertical="center" wrapText="1"/>
    </xf>
    <xf numFmtId="4" fontId="30" fillId="0" borderId="3" xfId="0" applyNumberFormat="1" applyFont="1" applyBorder="1" applyAlignment="1">
      <alignment horizontal="center" vertical="center"/>
    </xf>
    <xf numFmtId="0" fontId="50" fillId="0" borderId="3" xfId="0" applyFont="1" applyBorder="1" applyAlignment="1">
      <alignment horizontal="center" vertical="center" wrapText="1"/>
    </xf>
    <xf numFmtId="0" fontId="50" fillId="0" borderId="3" xfId="0" applyFont="1" applyBorder="1" applyAlignment="1">
      <alignment horizontal="left" vertical="center" wrapText="1"/>
    </xf>
    <xf numFmtId="4" fontId="50" fillId="10" borderId="3" xfId="0" applyNumberFormat="1" applyFont="1" applyFill="1" applyBorder="1" applyAlignment="1">
      <alignment horizontal="center" vertical="center" wrapText="1"/>
    </xf>
    <xf numFmtId="4" fontId="51" fillId="0" borderId="3" xfId="0" applyNumberFormat="1" applyFont="1" applyBorder="1" applyAlignment="1" applyProtection="1">
      <alignment horizontal="center" vertical="center" wrapText="1"/>
    </xf>
    <xf numFmtId="4" fontId="51" fillId="0" borderId="3" xfId="0" applyNumberFormat="1" applyFont="1" applyBorder="1" applyAlignment="1" applyProtection="1">
      <alignment horizontal="right" vertical="center" wrapText="1"/>
    </xf>
    <xf numFmtId="0" fontId="40" fillId="11" borderId="0" xfId="0" applyFont="1" applyFill="1" applyAlignment="1">
      <alignment vertical="center" wrapText="1"/>
    </xf>
    <xf numFmtId="4" fontId="51" fillId="0" borderId="0" xfId="0" applyNumberFormat="1" applyFont="1" applyBorder="1" applyAlignment="1" applyProtection="1">
      <alignment horizontal="right" vertical="center" wrapText="1"/>
    </xf>
    <xf numFmtId="4" fontId="47" fillId="0" borderId="0" xfId="2" applyNumberFormat="1" applyFont="1" applyBorder="1" applyAlignment="1" applyProtection="1">
      <alignment horizontal="right" vertical="center" wrapText="1"/>
    </xf>
    <xf numFmtId="9" fontId="47" fillId="12" borderId="3" xfId="3" applyFont="1" applyFill="1" applyBorder="1" applyAlignment="1" applyProtection="1">
      <alignment horizontal="right" vertical="center" wrapText="1"/>
    </xf>
    <xf numFmtId="166" fontId="35" fillId="6" borderId="0" xfId="2" applyNumberFormat="1" applyFont="1" applyFill="1" applyBorder="1" applyAlignment="1" applyProtection="1">
      <alignment vertical="center" wrapText="1"/>
    </xf>
    <xf numFmtId="0" fontId="35" fillId="6" borderId="0" xfId="0" applyFont="1" applyFill="1" applyAlignment="1">
      <alignment vertical="center" wrapText="1"/>
    </xf>
    <xf numFmtId="0" fontId="30" fillId="6" borderId="3" xfId="0" applyFont="1" applyFill="1" applyBorder="1" applyAlignment="1">
      <alignment horizontal="center" vertical="center" wrapText="1"/>
    </xf>
    <xf numFmtId="0" fontId="30" fillId="6" borderId="3" xfId="0" applyFont="1" applyFill="1" applyBorder="1" applyAlignment="1">
      <alignment horizontal="left" vertical="center" wrapText="1"/>
    </xf>
    <xf numFmtId="166" fontId="30" fillId="10" borderId="3" xfId="1" applyNumberFormat="1" applyFont="1" applyFill="1" applyBorder="1" applyAlignment="1" applyProtection="1">
      <alignment horizontal="center" vertical="center"/>
      <protection locked="0"/>
    </xf>
    <xf numFmtId="4" fontId="35" fillId="6" borderId="0" xfId="0" applyNumberFormat="1" applyFont="1" applyFill="1" applyAlignment="1">
      <alignment vertical="center" wrapText="1"/>
    </xf>
    <xf numFmtId="4" fontId="46" fillId="0" borderId="3" xfId="0" applyNumberFormat="1" applyFont="1" applyBorder="1" applyAlignment="1">
      <alignment horizontal="center" vertical="center" wrapText="1"/>
    </xf>
    <xf numFmtId="9" fontId="49" fillId="12" borderId="3" xfId="3" applyFont="1" applyFill="1" applyBorder="1" applyAlignment="1" applyProtection="1">
      <alignment horizontal="center" vertical="center" wrapText="1"/>
    </xf>
    <xf numFmtId="10" fontId="30" fillId="16" borderId="3" xfId="3" applyNumberFormat="1" applyFont="1" applyFill="1" applyBorder="1" applyAlignment="1" applyProtection="1">
      <alignment horizontal="center" vertical="center" wrapText="1"/>
    </xf>
    <xf numFmtId="49" fontId="30" fillId="0" borderId="3" xfId="0" applyNumberFormat="1" applyFont="1" applyBorder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left" vertical="center" wrapText="1"/>
      <protection locked="0"/>
    </xf>
    <xf numFmtId="0" fontId="35" fillId="0" borderId="0" xfId="0" applyFont="1" applyAlignment="1">
      <alignment vertical="center"/>
    </xf>
    <xf numFmtId="49" fontId="30" fillId="0" borderId="3" xfId="0" applyNumberFormat="1" applyFont="1" applyBorder="1" applyAlignment="1" applyProtection="1">
      <alignment horizontal="center" vertical="top"/>
      <protection locked="0"/>
    </xf>
    <xf numFmtId="0" fontId="30" fillId="0" borderId="3" xfId="0" applyFont="1" applyBorder="1" applyAlignment="1" applyProtection="1">
      <alignment horizontal="left" vertical="top" wrapText="1"/>
      <protection locked="0"/>
    </xf>
    <xf numFmtId="166" fontId="30" fillId="10" borderId="3" xfId="1" applyNumberFormat="1" applyFont="1" applyFill="1" applyBorder="1" applyAlignment="1" applyProtection="1">
      <alignment horizontal="center" vertical="top"/>
      <protection locked="0"/>
    </xf>
    <xf numFmtId="0" fontId="37" fillId="0" borderId="3" xfId="0" applyFont="1" applyBorder="1" applyAlignment="1">
      <alignment horizontal="center" wrapText="1"/>
    </xf>
    <xf numFmtId="0" fontId="49" fillId="14" borderId="3" xfId="0" applyFont="1" applyFill="1" applyBorder="1" applyAlignment="1">
      <alignment horizontal="center" vertical="center" wrapText="1"/>
    </xf>
    <xf numFmtId="0" fontId="49" fillId="14" borderId="3" xfId="0" applyFont="1" applyFill="1" applyBorder="1" applyAlignment="1">
      <alignment horizontal="left" vertical="center" wrapText="1"/>
    </xf>
    <xf numFmtId="4" fontId="49" fillId="14" borderId="3" xfId="0" applyNumberFormat="1" applyFont="1" applyFill="1" applyBorder="1" applyAlignment="1">
      <alignment horizontal="center" vertical="center" wrapText="1"/>
    </xf>
    <xf numFmtId="4" fontId="49" fillId="14" borderId="3" xfId="2" applyNumberFormat="1" applyFont="1" applyFill="1" applyBorder="1" applyAlignment="1" applyProtection="1">
      <alignment horizontal="center" vertical="center" wrapText="1"/>
    </xf>
    <xf numFmtId="9" fontId="49" fillId="14" borderId="3" xfId="3" applyFont="1" applyFill="1" applyBorder="1" applyAlignment="1" applyProtection="1">
      <alignment horizontal="center" vertical="center" wrapText="1"/>
    </xf>
    <xf numFmtId="4" fontId="39" fillId="0" borderId="0" xfId="0" applyNumberFormat="1" applyFont="1" applyAlignment="1">
      <alignment vertical="center" wrapText="1"/>
    </xf>
    <xf numFmtId="0" fontId="49" fillId="9" borderId="3" xfId="0" applyFont="1" applyFill="1" applyBorder="1" applyAlignment="1">
      <alignment horizontal="center" vertical="center"/>
    </xf>
    <xf numFmtId="2" fontId="49" fillId="9" borderId="3" xfId="0" applyNumberFormat="1" applyFont="1" applyFill="1" applyBorder="1" applyAlignment="1">
      <alignment horizontal="center" vertical="center" wrapText="1"/>
    </xf>
    <xf numFmtId="0" fontId="49" fillId="9" borderId="3" xfId="0" applyFont="1" applyFill="1" applyBorder="1" applyAlignment="1">
      <alignment wrapText="1"/>
    </xf>
    <xf numFmtId="166" fontId="49" fillId="9" borderId="3" xfId="1" applyNumberFormat="1" applyFont="1" applyFill="1" applyBorder="1" applyAlignment="1" applyProtection="1">
      <alignment horizontal="center" vertical="top"/>
    </xf>
    <xf numFmtId="166" fontId="49" fillId="9" borderId="3" xfId="1" applyNumberFormat="1" applyFont="1" applyFill="1" applyBorder="1" applyAlignment="1" applyProtection="1">
      <alignment horizontal="center" vertical="top"/>
      <protection locked="0"/>
    </xf>
    <xf numFmtId="4" fontId="49" fillId="9" borderId="3" xfId="2" applyNumberFormat="1" applyFont="1" applyFill="1" applyBorder="1" applyAlignment="1" applyProtection="1">
      <alignment horizontal="center" vertical="center" wrapText="1"/>
    </xf>
    <xf numFmtId="10" fontId="49" fillId="9" borderId="3" xfId="3" applyNumberFormat="1" applyFont="1" applyFill="1" applyBorder="1" applyAlignment="1" applyProtection="1">
      <alignment horizontal="center" vertical="center" wrapText="1"/>
    </xf>
    <xf numFmtId="49" fontId="30" fillId="0" borderId="3" xfId="0" applyNumberFormat="1" applyFont="1" applyBorder="1" applyAlignment="1">
      <alignment horizontal="center" vertical="center"/>
    </xf>
    <xf numFmtId="2" fontId="30" fillId="0" borderId="3" xfId="0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0" fontId="52" fillId="0" borderId="3" xfId="0" applyFont="1" applyBorder="1" applyAlignment="1">
      <alignment horizontal="center" vertical="center"/>
    </xf>
    <xf numFmtId="4" fontId="51" fillId="0" borderId="3" xfId="2" applyNumberFormat="1" applyFont="1" applyBorder="1" applyAlignment="1" applyProtection="1">
      <alignment horizontal="center" vertical="center" wrapText="1"/>
    </xf>
    <xf numFmtId="4" fontId="35" fillId="5" borderId="0" xfId="0" applyNumberFormat="1" applyFont="1" applyFill="1" applyAlignment="1">
      <alignment vertical="center" wrapText="1"/>
    </xf>
    <xf numFmtId="0" fontId="35" fillId="5" borderId="0" xfId="0" applyFont="1" applyFill="1" applyAlignment="1">
      <alignment vertical="center" wrapText="1"/>
    </xf>
    <xf numFmtId="4" fontId="35" fillId="17" borderId="0" xfId="0" applyNumberFormat="1" applyFont="1" applyFill="1" applyAlignment="1">
      <alignment vertical="center" wrapText="1"/>
    </xf>
    <xf numFmtId="4" fontId="47" fillId="12" borderId="17" xfId="2" applyNumberFormat="1" applyFont="1" applyFill="1" applyBorder="1" applyAlignment="1" applyProtection="1">
      <alignment horizontal="center" vertical="center" wrapText="1"/>
    </xf>
    <xf numFmtId="0" fontId="35" fillId="17" borderId="0" xfId="0" applyFont="1" applyFill="1" applyAlignment="1">
      <alignment vertical="center" wrapText="1"/>
    </xf>
    <xf numFmtId="4" fontId="54" fillId="21" borderId="3" xfId="2" applyNumberFormat="1" applyFont="1" applyFill="1" applyBorder="1" applyAlignment="1" applyProtection="1">
      <alignment horizontal="center" vertical="center" wrapText="1"/>
    </xf>
    <xf numFmtId="9" fontId="54" fillId="21" borderId="3" xfId="3" applyFont="1" applyFill="1" applyBorder="1" applyAlignment="1" applyProtection="1">
      <alignment horizontal="center" vertical="center" wrapText="1"/>
    </xf>
    <xf numFmtId="10" fontId="48" fillId="22" borderId="3" xfId="3" applyNumberFormat="1" applyFont="1" applyFill="1" applyBorder="1" applyAlignment="1" applyProtection="1">
      <alignment horizontal="center" vertical="center" wrapText="1"/>
    </xf>
    <xf numFmtId="4" fontId="47" fillId="5" borderId="17" xfId="2" applyNumberFormat="1" applyFont="1" applyFill="1" applyBorder="1" applyAlignment="1" applyProtection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166" fontId="35" fillId="0" borderId="0" xfId="2" applyNumberFormat="1" applyFont="1" applyBorder="1" applyAlignment="1" applyProtection="1">
      <alignment horizontal="center" vertical="center" wrapText="1"/>
    </xf>
    <xf numFmtId="9" fontId="35" fillId="0" borderId="0" xfId="3" applyFont="1" applyBorder="1" applyAlignment="1" applyProtection="1">
      <alignment horizontal="left" vertical="center" wrapText="1"/>
    </xf>
    <xf numFmtId="166" fontId="35" fillId="0" borderId="0" xfId="2" applyNumberFormat="1" applyFont="1" applyBorder="1" applyAlignment="1" applyProtection="1">
      <alignment horizontal="left" vertical="center" wrapText="1"/>
    </xf>
    <xf numFmtId="4" fontId="50" fillId="10" borderId="3" xfId="0" applyNumberFormat="1" applyFont="1" applyFill="1" applyBorder="1" applyAlignment="1" applyProtection="1">
      <alignment horizontal="center" vertical="center" wrapText="1"/>
    </xf>
    <xf numFmtId="0" fontId="55" fillId="25" borderId="30" xfId="0" applyFont="1" applyFill="1" applyBorder="1" applyAlignment="1">
      <alignment horizontal="center" vertical="center" wrapText="1"/>
    </xf>
    <xf numFmtId="0" fontId="46" fillId="25" borderId="30" xfId="0" applyFont="1" applyFill="1" applyBorder="1" applyAlignment="1">
      <alignment horizontal="left" vertical="center" wrapText="1"/>
    </xf>
    <xf numFmtId="0" fontId="55" fillId="25" borderId="36" xfId="7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 wrapText="1"/>
    </xf>
    <xf numFmtId="0" fontId="8" fillId="30" borderId="73" xfId="0" applyFont="1" applyFill="1" applyBorder="1" applyAlignment="1" applyProtection="1">
      <alignment vertical="top" wrapText="1"/>
    </xf>
    <xf numFmtId="0" fontId="58" fillId="30" borderId="74" xfId="0" applyFont="1" applyFill="1" applyBorder="1" applyAlignment="1" applyProtection="1">
      <alignment vertical="top" wrapText="1"/>
    </xf>
    <xf numFmtId="0" fontId="58" fillId="30" borderId="77" xfId="0" applyFont="1" applyFill="1" applyBorder="1" applyAlignment="1" applyProtection="1">
      <alignment vertical="top" wrapText="1"/>
    </xf>
    <xf numFmtId="4" fontId="8" fillId="0" borderId="30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49" fontId="57" fillId="32" borderId="30" xfId="0" applyNumberFormat="1" applyFont="1" applyFill="1" applyBorder="1" applyAlignment="1">
      <alignment vertical="center" wrapText="1"/>
    </xf>
    <xf numFmtId="168" fontId="8" fillId="0" borderId="30" xfId="0" applyNumberFormat="1" applyFont="1" applyBorder="1" applyAlignment="1">
      <alignment horizontal="center"/>
    </xf>
    <xf numFmtId="10" fontId="7" fillId="0" borderId="30" xfId="0" applyNumberFormat="1" applyFont="1" applyBorder="1" applyAlignment="1">
      <alignment horizontal="center"/>
    </xf>
    <xf numFmtId="0" fontId="7" fillId="33" borderId="30" xfId="0" applyFont="1" applyFill="1" applyBorder="1" applyAlignment="1">
      <alignment horizontal="right"/>
    </xf>
    <xf numFmtId="0" fontId="7" fillId="0" borderId="0" xfId="0" applyFont="1" applyAlignment="1">
      <alignment horizontal="left"/>
    </xf>
    <xf numFmtId="10" fontId="7" fillId="0" borderId="0" xfId="0" applyNumberFormat="1" applyFont="1" applyAlignment="1">
      <alignment vertical="top" wrapText="1"/>
    </xf>
    <xf numFmtId="10" fontId="7" fillId="0" borderId="30" xfId="0" applyNumberFormat="1" applyFont="1" applyBorder="1" applyAlignment="1">
      <alignment horizontal="right"/>
    </xf>
    <xf numFmtId="4" fontId="7" fillId="0" borderId="30" xfId="0" applyNumberFormat="1" applyFont="1" applyBorder="1" applyAlignment="1">
      <alignment horizontal="right"/>
    </xf>
    <xf numFmtId="4" fontId="7" fillId="0" borderId="0" xfId="0" applyNumberFormat="1" applyFont="1" applyAlignment="1">
      <alignment vertical="top" wrapText="1"/>
    </xf>
    <xf numFmtId="49" fontId="57" fillId="0" borderId="30" xfId="0" applyNumberFormat="1" applyFont="1" applyBorder="1" applyAlignment="1">
      <alignment vertical="center" wrapText="1"/>
    </xf>
    <xf numFmtId="0" fontId="8" fillId="0" borderId="30" xfId="0" applyFont="1" applyBorder="1" applyAlignment="1">
      <alignment vertical="top" wrapText="1"/>
    </xf>
    <xf numFmtId="168" fontId="7" fillId="0" borderId="30" xfId="0" applyNumberFormat="1" applyFont="1" applyBorder="1" applyAlignment="1">
      <alignment horizontal="center"/>
    </xf>
    <xf numFmtId="4" fontId="8" fillId="0" borderId="30" xfId="0" applyNumberFormat="1" applyFont="1" applyBorder="1" applyAlignment="1">
      <alignment horizontal="right"/>
    </xf>
    <xf numFmtId="10" fontId="8" fillId="0" borderId="30" xfId="0" applyNumberFormat="1" applyFont="1" applyBorder="1" applyAlignment="1">
      <alignment horizontal="center"/>
    </xf>
    <xf numFmtId="168" fontId="7" fillId="0" borderId="30" xfId="0" applyNumberFormat="1" applyFont="1" applyBorder="1" applyAlignment="1">
      <alignment vertical="top" wrapText="1"/>
    </xf>
    <xf numFmtId="10" fontId="8" fillId="0" borderId="30" xfId="0" applyNumberFormat="1" applyFont="1" applyBorder="1" applyAlignment="1">
      <alignment horizontal="right"/>
    </xf>
    <xf numFmtId="49" fontId="57" fillId="0" borderId="80" xfId="0" applyNumberFormat="1" applyFont="1" applyBorder="1" applyAlignment="1">
      <alignment vertical="center" wrapText="1"/>
    </xf>
    <xf numFmtId="168" fontId="8" fillId="0" borderId="80" xfId="0" applyNumberFormat="1" applyFont="1" applyBorder="1" applyAlignment="1"/>
    <xf numFmtId="10" fontId="7" fillId="0" borderId="80" xfId="0" applyNumberFormat="1" applyFont="1" applyBorder="1" applyAlignment="1"/>
    <xf numFmtId="0" fontId="8" fillId="30" borderId="93" xfId="0" applyFont="1" applyFill="1" applyBorder="1" applyAlignment="1" applyProtection="1">
      <alignment vertical="top" wrapText="1"/>
    </xf>
    <xf numFmtId="0" fontId="8" fillId="30" borderId="94" xfId="0" applyFont="1" applyFill="1" applyBorder="1" applyAlignment="1" applyProtection="1">
      <alignment vertical="top" wrapText="1"/>
    </xf>
    <xf numFmtId="0" fontId="56" fillId="30" borderId="95" xfId="0" applyFont="1" applyFill="1" applyBorder="1" applyAlignment="1" applyProtection="1">
      <alignment vertical="top" wrapText="1"/>
    </xf>
    <xf numFmtId="0" fontId="8" fillId="30" borderId="98" xfId="0" applyFont="1" applyFill="1" applyBorder="1" applyAlignment="1" applyProtection="1">
      <alignment horizontal="left" vertical="top" wrapText="1"/>
    </xf>
    <xf numFmtId="4" fontId="8" fillId="0" borderId="102" xfId="0" applyNumberFormat="1" applyFont="1" applyBorder="1" applyAlignment="1">
      <alignment horizontal="center" vertical="center"/>
    </xf>
    <xf numFmtId="49" fontId="57" fillId="0" borderId="101" xfId="0" applyNumberFormat="1" applyFont="1" applyBorder="1" applyAlignment="1">
      <alignment horizontal="center"/>
    </xf>
    <xf numFmtId="0" fontId="7" fillId="33" borderId="102" xfId="0" applyFont="1" applyFill="1" applyBorder="1" applyAlignment="1">
      <alignment horizontal="right"/>
    </xf>
    <xf numFmtId="10" fontId="7" fillId="0" borderId="102" xfId="0" applyNumberFormat="1" applyFont="1" applyBorder="1" applyAlignment="1">
      <alignment horizontal="center"/>
    </xf>
    <xf numFmtId="4" fontId="7" fillId="0" borderId="102" xfId="0" applyNumberFormat="1" applyFont="1" applyBorder="1" applyAlignment="1">
      <alignment horizontal="center"/>
    </xf>
    <xf numFmtId="0" fontId="60" fillId="0" borderId="101" xfId="0" applyFont="1" applyBorder="1" applyAlignment="1">
      <alignment vertical="top" wrapText="1"/>
    </xf>
    <xf numFmtId="49" fontId="60" fillId="0" borderId="101" xfId="0" applyNumberFormat="1" applyFont="1" applyBorder="1" applyAlignment="1">
      <alignment horizontal="center"/>
    </xf>
    <xf numFmtId="4" fontId="8" fillId="0" borderId="102" xfId="0" applyNumberFormat="1" applyFont="1" applyBorder="1" applyAlignment="1">
      <alignment horizontal="center"/>
    </xf>
    <xf numFmtId="10" fontId="8" fillId="0" borderId="102" xfId="0" applyNumberFormat="1" applyFont="1" applyBorder="1" applyAlignment="1">
      <alignment horizontal="center"/>
    </xf>
    <xf numFmtId="0" fontId="8" fillId="0" borderId="91" xfId="0" applyFont="1" applyBorder="1" applyAlignment="1">
      <alignment vertical="top" wrapText="1"/>
    </xf>
    <xf numFmtId="168" fontId="7" fillId="0" borderId="91" xfId="0" applyNumberFormat="1" applyFont="1" applyBorder="1" applyAlignment="1">
      <alignment vertical="top" wrapText="1"/>
    </xf>
    <xf numFmtId="10" fontId="7" fillId="0" borderId="91" xfId="0" applyNumberFormat="1" applyFont="1" applyBorder="1" applyAlignment="1">
      <alignment horizontal="center"/>
    </xf>
    <xf numFmtId="10" fontId="8" fillId="0" borderId="91" xfId="0" applyNumberFormat="1" applyFont="1" applyBorder="1" applyAlignment="1">
      <alignment horizontal="right"/>
    </xf>
    <xf numFmtId="4" fontId="8" fillId="0" borderId="92" xfId="0" applyNumberFormat="1" applyFont="1" applyBorder="1" applyAlignment="1">
      <alignment vertical="top" wrapText="1"/>
    </xf>
    <xf numFmtId="44" fontId="7" fillId="0" borderId="102" xfId="0" applyNumberFormat="1" applyFont="1" applyBorder="1" applyAlignment="1">
      <alignment horizontal="center"/>
    </xf>
    <xf numFmtId="0" fontId="62" fillId="9" borderId="3" xfId="0" applyFont="1" applyFill="1" applyBorder="1" applyAlignment="1">
      <alignment horizontal="center" vertical="center" wrapText="1"/>
    </xf>
    <xf numFmtId="0" fontId="62" fillId="9" borderId="3" xfId="0" applyFont="1" applyFill="1" applyBorder="1" applyAlignment="1">
      <alignment horizontal="left" vertical="center" wrapText="1"/>
    </xf>
    <xf numFmtId="0" fontId="62" fillId="9" borderId="3" xfId="1" applyNumberFormat="1" applyFont="1" applyFill="1" applyBorder="1" applyAlignment="1" applyProtection="1">
      <alignment horizontal="right" vertical="center" wrapText="1"/>
    </xf>
    <xf numFmtId="4" fontId="62" fillId="9" borderId="3" xfId="0" applyNumberFormat="1" applyFont="1" applyFill="1" applyBorder="1" applyAlignment="1">
      <alignment horizontal="right" vertical="center" wrapText="1"/>
    </xf>
    <xf numFmtId="168" fontId="63" fillId="9" borderId="3" xfId="0" applyNumberFormat="1" applyFont="1" applyFill="1" applyBorder="1" applyAlignment="1">
      <alignment horizontal="right" vertical="center" wrapText="1"/>
    </xf>
    <xf numFmtId="165" fontId="64" fillId="9" borderId="3" xfId="2" applyFont="1" applyFill="1" applyBorder="1" applyAlignment="1" applyProtection="1">
      <alignment horizontal="left" vertical="center" wrapText="1"/>
    </xf>
    <xf numFmtId="9" fontId="64" fillId="9" borderId="3" xfId="3" applyFont="1" applyFill="1" applyBorder="1" applyAlignment="1" applyProtection="1">
      <alignment horizontal="left" vertical="center" wrapText="1"/>
    </xf>
    <xf numFmtId="9" fontId="63" fillId="9" borderId="3" xfId="3" applyFont="1" applyFill="1" applyBorder="1" applyAlignment="1" applyProtection="1">
      <alignment horizontal="right" vertical="center" wrapText="1"/>
    </xf>
    <xf numFmtId="0" fontId="63" fillId="34" borderId="3" xfId="0" applyFont="1" applyFill="1" applyBorder="1" applyAlignment="1">
      <alignment horizontal="center" vertical="center" wrapText="1"/>
    </xf>
    <xf numFmtId="0" fontId="63" fillId="34" borderId="3" xfId="0" applyFont="1" applyFill="1" applyBorder="1" applyAlignment="1">
      <alignment horizontal="left" vertical="center" wrapText="1"/>
    </xf>
    <xf numFmtId="4" fontId="14" fillId="35" borderId="3" xfId="1" applyNumberFormat="1" applyFont="1" applyFill="1" applyBorder="1" applyAlignment="1" applyProtection="1">
      <alignment horizontal="right" vertical="center" wrapText="1"/>
    </xf>
    <xf numFmtId="4" fontId="14" fillId="35" borderId="3" xfId="0" applyNumberFormat="1" applyFont="1" applyFill="1" applyBorder="1" applyAlignment="1">
      <alignment horizontal="right" vertical="center" wrapText="1"/>
    </xf>
    <xf numFmtId="4" fontId="61" fillId="0" borderId="3" xfId="0" applyNumberFormat="1" applyFont="1" applyBorder="1" applyAlignment="1">
      <alignment horizontal="right" vertical="center" wrapText="1"/>
    </xf>
    <xf numFmtId="4" fontId="65" fillId="0" borderId="3" xfId="2" applyNumberFormat="1" applyFont="1" applyBorder="1" applyAlignment="1" applyProtection="1">
      <alignment horizontal="right" vertical="center" wrapText="1"/>
    </xf>
    <xf numFmtId="0" fontId="14" fillId="34" borderId="3" xfId="0" applyFont="1" applyFill="1" applyBorder="1" applyAlignment="1">
      <alignment horizontal="center" vertical="center" wrapText="1"/>
    </xf>
    <xf numFmtId="0" fontId="66" fillId="34" borderId="3" xfId="0" applyFont="1" applyFill="1" applyBorder="1" applyAlignment="1">
      <alignment horizontal="left" vertical="center" wrapText="1"/>
    </xf>
    <xf numFmtId="0" fontId="62" fillId="12" borderId="3" xfId="0" applyFont="1" applyFill="1" applyBorder="1" applyAlignment="1">
      <alignment horizontal="center" vertical="center" wrapText="1"/>
    </xf>
    <xf numFmtId="0" fontId="62" fillId="12" borderId="3" xfId="0" applyFont="1" applyFill="1" applyBorder="1" applyAlignment="1">
      <alignment horizontal="left" vertical="center" wrapText="1"/>
    </xf>
    <xf numFmtId="4" fontId="62" fillId="12" borderId="3" xfId="0" applyNumberFormat="1" applyFont="1" applyFill="1" applyBorder="1" applyAlignment="1">
      <alignment horizontal="right" vertical="center" wrapText="1"/>
    </xf>
    <xf numFmtId="4" fontId="64" fillId="12" borderId="3" xfId="2" applyNumberFormat="1" applyFont="1" applyFill="1" applyBorder="1" applyAlignment="1" applyProtection="1">
      <alignment horizontal="right" vertical="center" wrapText="1"/>
    </xf>
    <xf numFmtId="9" fontId="64" fillId="12" borderId="3" xfId="3" applyFont="1" applyFill="1" applyBorder="1" applyAlignment="1" applyProtection="1">
      <alignment horizontal="right" vertical="center" wrapText="1"/>
    </xf>
    <xf numFmtId="174" fontId="63" fillId="9" borderId="3" xfId="3" applyNumberFormat="1" applyFont="1" applyFill="1" applyBorder="1" applyAlignment="1" applyProtection="1">
      <alignment horizontal="righ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63" fillId="0" borderId="3" xfId="0" applyFont="1" applyBorder="1" applyAlignment="1">
      <alignment horizontal="center" vertical="center" wrapText="1"/>
    </xf>
    <xf numFmtId="0" fontId="63" fillId="0" borderId="3" xfId="0" applyFont="1" applyBorder="1" applyAlignment="1">
      <alignment horizontal="left" vertical="center" wrapText="1"/>
    </xf>
    <xf numFmtId="4" fontId="63" fillId="35" borderId="3" xfId="1" applyNumberFormat="1" applyFont="1" applyFill="1" applyBorder="1" applyAlignment="1" applyProtection="1">
      <alignment horizontal="right" vertical="center" wrapText="1"/>
    </xf>
    <xf numFmtId="4" fontId="63" fillId="35" borderId="3" xfId="0" applyNumberFormat="1" applyFont="1" applyFill="1" applyBorder="1" applyAlignment="1">
      <alignment horizontal="right" vertical="center" wrapText="1"/>
    </xf>
    <xf numFmtId="4" fontId="62" fillId="0" borderId="3" xfId="0" applyNumberFormat="1" applyFont="1" applyBorder="1" applyAlignment="1">
      <alignment horizontal="right" vertical="center" wrapText="1"/>
    </xf>
    <xf numFmtId="4" fontId="64" fillId="0" borderId="3" xfId="2" applyNumberFormat="1" applyFont="1" applyBorder="1" applyAlignment="1" applyProtection="1">
      <alignment horizontal="right" vertical="center" wrapText="1"/>
    </xf>
    <xf numFmtId="10" fontId="30" fillId="36" borderId="3" xfId="3" applyNumberFormat="1" applyFont="1" applyFill="1" applyBorder="1" applyAlignment="1" applyProtection="1">
      <alignment horizontal="center" vertical="center" wrapText="1"/>
    </xf>
    <xf numFmtId="0" fontId="67" fillId="34" borderId="51" xfId="0" applyFont="1" applyFill="1" applyBorder="1" applyAlignment="1">
      <alignment horizontal="center" vertical="center" wrapText="1"/>
    </xf>
    <xf numFmtId="0" fontId="67" fillId="34" borderId="0" xfId="0" applyFont="1" applyFill="1" applyAlignment="1">
      <alignment horizontal="center" vertical="center" wrapText="1"/>
    </xf>
    <xf numFmtId="0" fontId="67" fillId="34" borderId="52" xfId="0" applyFont="1" applyFill="1" applyBorder="1" applyAlignment="1">
      <alignment horizontal="center" vertical="center" wrapText="1"/>
    </xf>
    <xf numFmtId="2" fontId="62" fillId="0" borderId="3" xfId="0" applyNumberFormat="1" applyFont="1" applyBorder="1" applyAlignment="1">
      <alignment horizontal="center" vertical="center" wrapText="1"/>
    </xf>
    <xf numFmtId="0" fontId="62" fillId="0" borderId="3" xfId="0" applyFont="1" applyBorder="1" applyAlignment="1">
      <alignment horizontal="center" vertical="center" wrapText="1"/>
    </xf>
    <xf numFmtId="0" fontId="63" fillId="0" borderId="3" xfId="0" applyFont="1" applyBorder="1" applyAlignment="1">
      <alignment horizontal="right" vertical="center" wrapText="1"/>
    </xf>
    <xf numFmtId="0" fontId="0" fillId="0" borderId="3" xfId="0" applyBorder="1"/>
    <xf numFmtId="0" fontId="3" fillId="2" borderId="1" xfId="0" applyFont="1" applyFill="1" applyBorder="1" applyAlignment="1">
      <alignment horizontal="center" vertical="center" wrapText="1"/>
    </xf>
    <xf numFmtId="49" fontId="48" fillId="8" borderId="3" xfId="0" applyNumberFormat="1" applyFont="1" applyFill="1" applyBorder="1" applyAlignment="1" applyProtection="1">
      <alignment horizontal="center" vertical="center"/>
      <protection locked="0"/>
    </xf>
    <xf numFmtId="0" fontId="41" fillId="5" borderId="3" xfId="0" applyFont="1" applyFill="1" applyBorder="1" applyAlignment="1">
      <alignment horizontal="center" vertical="center" wrapText="1"/>
    </xf>
    <xf numFmtId="0" fontId="35" fillId="5" borderId="4" xfId="0" applyFont="1" applyFill="1" applyBorder="1"/>
    <xf numFmtId="0" fontId="35" fillId="5" borderId="0" xfId="0" applyFont="1" applyFill="1" applyBorder="1"/>
    <xf numFmtId="0" fontId="35" fillId="6" borderId="5" xfId="0" applyFont="1" applyFill="1" applyBorder="1"/>
    <xf numFmtId="0" fontId="35" fillId="6" borderId="0" xfId="0" applyFont="1" applyFill="1" applyBorder="1"/>
    <xf numFmtId="0" fontId="37" fillId="6" borderId="0" xfId="0" applyFont="1" applyFill="1" applyBorder="1" applyAlignment="1">
      <alignment horizontal="left" vertical="center" wrapText="1"/>
    </xf>
    <xf numFmtId="0" fontId="46" fillId="6" borderId="0" xfId="0" applyFont="1" applyFill="1" applyBorder="1" applyAlignment="1">
      <alignment horizontal="center" vertical="center" wrapText="1"/>
    </xf>
    <xf numFmtId="0" fontId="46" fillId="6" borderId="0" xfId="0" applyFont="1" applyFill="1" applyBorder="1" applyAlignment="1">
      <alignment horizontal="right" vertical="center" wrapText="1"/>
    </xf>
    <xf numFmtId="9" fontId="37" fillId="6" borderId="0" xfId="3" applyFont="1" applyFill="1" applyBorder="1" applyAlignment="1" applyProtection="1">
      <alignment horizontal="center" vertical="center" wrapText="1"/>
    </xf>
    <xf numFmtId="0" fontId="45" fillId="6" borderId="11" xfId="0" applyFont="1" applyFill="1" applyBorder="1" applyAlignment="1">
      <alignment vertical="center" wrapText="1"/>
    </xf>
    <xf numFmtId="0" fontId="37" fillId="6" borderId="13" xfId="0" applyFont="1" applyFill="1" applyBorder="1" applyAlignment="1">
      <alignment horizontal="left" vertical="center" wrapText="1"/>
    </xf>
    <xf numFmtId="0" fontId="37" fillId="6" borderId="13" xfId="0" applyFont="1" applyFill="1" applyBorder="1" applyAlignment="1">
      <alignment horizontal="center" vertical="center" wrapText="1"/>
    </xf>
    <xf numFmtId="9" fontId="47" fillId="7" borderId="14" xfId="3" applyFont="1" applyFill="1" applyBorder="1" applyAlignment="1" applyProtection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4" fontId="47" fillId="7" borderId="14" xfId="0" applyNumberFormat="1" applyFont="1" applyFill="1" applyBorder="1" applyAlignment="1">
      <alignment horizontal="center" vertical="center" wrapText="1"/>
    </xf>
    <xf numFmtId="166" fontId="47" fillId="7" borderId="14" xfId="2" applyNumberFormat="1" applyFont="1" applyFill="1" applyBorder="1" applyAlignment="1" applyProtection="1">
      <alignment horizontal="center" vertical="center" wrapText="1"/>
    </xf>
    <xf numFmtId="0" fontId="47" fillId="7" borderId="14" xfId="0" applyFont="1" applyFill="1" applyBorder="1" applyAlignment="1">
      <alignment horizontal="center" vertical="center" wrapText="1"/>
    </xf>
    <xf numFmtId="0" fontId="47" fillId="7" borderId="14" xfId="1" applyNumberFormat="1" applyFont="1" applyFill="1" applyBorder="1" applyAlignment="1" applyProtection="1">
      <alignment horizontal="center" vertical="center" wrapText="1"/>
    </xf>
    <xf numFmtId="0" fontId="54" fillId="21" borderId="3" xfId="0" applyFont="1" applyFill="1" applyBorder="1" applyAlignment="1">
      <alignment horizontal="right" vertical="center" wrapText="1"/>
    </xf>
    <xf numFmtId="49" fontId="48" fillId="14" borderId="3" xfId="0" applyNumberFormat="1" applyFont="1" applyFill="1" applyBorder="1" applyAlignment="1" applyProtection="1">
      <alignment horizontal="center" vertical="center"/>
      <protection locked="0"/>
    </xf>
    <xf numFmtId="0" fontId="46" fillId="0" borderId="3" xfId="0" applyFont="1" applyBorder="1" applyAlignment="1">
      <alignment horizontal="center" vertical="center" wrapText="1"/>
    </xf>
    <xf numFmtId="0" fontId="53" fillId="0" borderId="3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right" vertical="center" wrapText="1"/>
    </xf>
    <xf numFmtId="0" fontId="8" fillId="0" borderId="68" xfId="0" applyFont="1" applyBorder="1" applyAlignment="1">
      <alignment horizontal="right" vertical="center" wrapText="1"/>
    </xf>
    <xf numFmtId="0" fontId="11" fillId="8" borderId="56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57" xfId="0" applyFont="1" applyFill="1" applyBorder="1" applyAlignment="1">
      <alignment horizontal="center" vertical="center" wrapText="1"/>
    </xf>
    <xf numFmtId="0" fontId="11" fillId="13" borderId="62" xfId="0" applyFont="1" applyFill="1" applyBorder="1" applyAlignment="1">
      <alignment horizontal="center" vertical="center" wrapText="1"/>
    </xf>
    <xf numFmtId="0" fontId="11" fillId="13" borderId="24" xfId="0" applyFont="1" applyFill="1" applyBorder="1" applyAlignment="1">
      <alignment horizontal="center" vertical="center" wrapText="1"/>
    </xf>
    <xf numFmtId="0" fontId="11" fillId="13" borderId="63" xfId="0" applyFont="1" applyFill="1" applyBorder="1" applyAlignment="1">
      <alignment horizontal="center" vertical="center" wrapText="1"/>
    </xf>
    <xf numFmtId="0" fontId="15" fillId="5" borderId="53" xfId="0" applyFont="1" applyFill="1" applyBorder="1" applyAlignment="1">
      <alignment horizontal="center" vertical="center" wrapText="1"/>
    </xf>
    <xf numFmtId="0" fontId="15" fillId="5" borderId="54" xfId="0" applyFont="1" applyFill="1" applyBorder="1" applyAlignment="1">
      <alignment horizontal="center" vertical="center" wrapText="1"/>
    </xf>
    <xf numFmtId="0" fontId="15" fillId="5" borderId="55" xfId="0" applyFont="1" applyFill="1" applyBorder="1" applyAlignment="1">
      <alignment horizontal="center" vertical="center" wrapText="1"/>
    </xf>
    <xf numFmtId="0" fontId="15" fillId="5" borderId="56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57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left" vertical="center" wrapText="1"/>
    </xf>
    <xf numFmtId="0" fontId="7" fillId="6" borderId="52" xfId="0" applyFont="1" applyFill="1" applyBorder="1" applyAlignment="1">
      <alignment horizontal="left" vertical="center" wrapText="1"/>
    </xf>
    <xf numFmtId="0" fontId="8" fillId="6" borderId="15" xfId="0" applyFont="1" applyFill="1" applyBorder="1" applyAlignment="1">
      <alignment horizontal="left" vertical="center" wrapText="1"/>
    </xf>
    <xf numFmtId="0" fontId="9" fillId="7" borderId="60" xfId="0" applyFont="1" applyFill="1" applyBorder="1" applyAlignment="1">
      <alignment horizontal="center" vertical="center" wrapText="1"/>
    </xf>
    <xf numFmtId="0" fontId="9" fillId="7" borderId="23" xfId="0" applyFont="1" applyFill="1" applyBorder="1" applyAlignment="1">
      <alignment horizontal="left" vertical="center" wrapText="1"/>
    </xf>
    <xf numFmtId="0" fontId="9" fillId="7" borderId="61" xfId="0" applyFont="1" applyFill="1" applyBorder="1" applyAlignment="1">
      <alignment horizontal="left" vertical="center" wrapText="1"/>
    </xf>
    <xf numFmtId="0" fontId="9" fillId="7" borderId="22" xfId="0" applyFont="1" applyFill="1" applyBorder="1" applyAlignment="1">
      <alignment horizontal="center" vertical="center" wrapText="1"/>
    </xf>
    <xf numFmtId="0" fontId="8" fillId="0" borderId="62" xfId="0" applyFont="1" applyBorder="1" applyAlignment="1">
      <alignment horizontal="right" vertical="center" wrapText="1"/>
    </xf>
    <xf numFmtId="0" fontId="8" fillId="0" borderId="24" xfId="0" applyFont="1" applyBorder="1" applyAlignment="1">
      <alignment horizontal="right" vertical="center" wrapText="1"/>
    </xf>
    <xf numFmtId="0" fontId="29" fillId="9" borderId="25" xfId="0" applyFont="1" applyFill="1" applyBorder="1" applyAlignment="1">
      <alignment horizontal="left" vertical="center" wrapText="1"/>
    </xf>
    <xf numFmtId="0" fontId="8" fillId="9" borderId="25" xfId="0" applyFont="1" applyFill="1" applyBorder="1" applyAlignment="1">
      <alignment horizontal="left" vertical="center" wrapText="1"/>
    </xf>
    <xf numFmtId="0" fontId="8" fillId="9" borderId="65" xfId="0" applyFont="1" applyFill="1" applyBorder="1" applyAlignment="1">
      <alignment horizontal="left" vertical="center" wrapText="1"/>
    </xf>
    <xf numFmtId="0" fontId="12" fillId="18" borderId="51" xfId="0" applyFont="1" applyFill="1" applyBorder="1" applyAlignment="1">
      <alignment horizontal="center" vertical="center" wrapText="1"/>
    </xf>
    <xf numFmtId="0" fontId="12" fillId="18" borderId="18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49" fontId="31" fillId="24" borderId="31" xfId="0" applyNumberFormat="1" applyFont="1" applyFill="1" applyBorder="1" applyAlignment="1">
      <alignment horizontal="center" vertical="center" wrapText="1"/>
    </xf>
    <xf numFmtId="49" fontId="31" fillId="24" borderId="32" xfId="0" applyNumberFormat="1" applyFont="1" applyFill="1" applyBorder="1" applyAlignment="1">
      <alignment horizontal="center" vertical="center" wrapText="1"/>
    </xf>
    <xf numFmtId="0" fontId="9" fillId="23" borderId="30" xfId="0" applyFont="1" applyFill="1" applyBorder="1" applyAlignment="1">
      <alignment horizontal="center" vertical="center" wrapText="1"/>
    </xf>
    <xf numFmtId="0" fontId="9" fillId="23" borderId="30" xfId="7" applyNumberFormat="1" applyFont="1" applyFill="1" applyBorder="1" applyAlignment="1" applyProtection="1">
      <alignment horizontal="center" vertical="center" wrapText="1"/>
    </xf>
    <xf numFmtId="0" fontId="62" fillId="9" borderId="3" xfId="0" applyFont="1" applyFill="1" applyBorder="1" applyAlignment="1">
      <alignment horizontal="left" vertical="center" wrapText="1"/>
    </xf>
    <xf numFmtId="0" fontId="62" fillId="0" borderId="3" xfId="0" applyFont="1" applyBorder="1" applyAlignment="1">
      <alignment horizontal="right" vertical="center" wrapText="1"/>
    </xf>
    <xf numFmtId="0" fontId="63" fillId="0" borderId="3" xfId="0" applyFont="1" applyBorder="1" applyAlignment="1">
      <alignment horizontal="left" vertical="center" wrapText="1"/>
    </xf>
    <xf numFmtId="0" fontId="62" fillId="37" borderId="3" xfId="0" applyFont="1" applyFill="1" applyBorder="1" applyAlignment="1">
      <alignment horizontal="center" vertical="center" wrapText="1"/>
    </xf>
    <xf numFmtId="0" fontId="67" fillId="34" borderId="51" xfId="0" applyFont="1" applyFill="1" applyBorder="1" applyAlignment="1">
      <alignment horizontal="center" vertical="center" wrapText="1"/>
    </xf>
    <xf numFmtId="0" fontId="67" fillId="34" borderId="0" xfId="0" applyFont="1" applyFill="1" applyBorder="1" applyAlignment="1">
      <alignment horizontal="center" vertical="center" wrapText="1"/>
    </xf>
    <xf numFmtId="0" fontId="67" fillId="34" borderId="52" xfId="0" applyFont="1" applyFill="1" applyBorder="1" applyAlignment="1">
      <alignment horizontal="center" vertical="center" wrapText="1"/>
    </xf>
    <xf numFmtId="0" fontId="8" fillId="8" borderId="113" xfId="0" applyFont="1" applyFill="1" applyBorder="1" applyAlignment="1">
      <alignment horizontal="center" vertical="center" wrapText="1"/>
    </xf>
    <xf numFmtId="4" fontId="62" fillId="9" borderId="3" xfId="0" applyNumberFormat="1" applyFont="1" applyFill="1" applyBorder="1" applyAlignment="1">
      <alignment horizontal="left" vertical="center" wrapText="1"/>
    </xf>
    <xf numFmtId="0" fontId="68" fillId="34" borderId="110" xfId="0" applyFont="1" applyFill="1" applyBorder="1" applyAlignment="1">
      <alignment horizontal="center" vertical="center" wrapText="1"/>
    </xf>
    <xf numFmtId="0" fontId="68" fillId="34" borderId="111" xfId="0" applyFont="1" applyFill="1" applyBorder="1" applyAlignment="1">
      <alignment horizontal="center" vertical="center" wrapText="1"/>
    </xf>
    <xf numFmtId="0" fontId="68" fillId="34" borderId="11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2" fontId="17" fillId="0" borderId="0" xfId="0" applyNumberFormat="1" applyFont="1" applyBorder="1" applyAlignment="1">
      <alignment horizontal="center"/>
    </xf>
    <xf numFmtId="0" fontId="0" fillId="0" borderId="26" xfId="0" applyFont="1" applyBorder="1" applyAlignment="1">
      <alignment horizontal="center" vertical="center"/>
    </xf>
    <xf numFmtId="0" fontId="2" fillId="0" borderId="19" xfId="0" applyFont="1" applyBorder="1"/>
    <xf numFmtId="0" fontId="15" fillId="5" borderId="17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16" fillId="6" borderId="28" xfId="0" applyFont="1" applyFill="1" applyBorder="1" applyAlignment="1">
      <alignment horizontal="left" vertical="center"/>
    </xf>
    <xf numFmtId="0" fontId="0" fillId="0" borderId="15" xfId="0" applyBorder="1"/>
    <xf numFmtId="0" fontId="22" fillId="6" borderId="0" xfId="0" applyFont="1" applyFill="1" applyBorder="1" applyAlignment="1">
      <alignment horizontal="left"/>
    </xf>
    <xf numFmtId="0" fontId="0" fillId="6" borderId="19" xfId="0" applyFill="1" applyBorder="1"/>
    <xf numFmtId="0" fontId="0" fillId="6" borderId="15" xfId="0" applyFill="1" applyBorder="1"/>
    <xf numFmtId="0" fontId="0" fillId="0" borderId="85" xfId="0" applyFill="1" applyBorder="1" applyAlignment="1">
      <alignment vertical="top" wrapText="1"/>
    </xf>
    <xf numFmtId="0" fontId="0" fillId="0" borderId="86" xfId="0" applyFill="1" applyBorder="1" applyAlignment="1">
      <alignment vertical="top" wrapText="1"/>
    </xf>
    <xf numFmtId="0" fontId="0" fillId="0" borderId="87" xfId="0" applyFill="1" applyBorder="1" applyAlignment="1">
      <alignment vertical="top" wrapText="1"/>
    </xf>
    <xf numFmtId="0" fontId="0" fillId="0" borderId="88" xfId="0" applyFill="1" applyBorder="1" applyAlignment="1">
      <alignment vertical="top" wrapText="1"/>
    </xf>
    <xf numFmtId="0" fontId="0" fillId="0" borderId="72" xfId="0" applyFill="1" applyBorder="1" applyAlignment="1">
      <alignment vertical="top" wrapText="1"/>
    </xf>
    <xf numFmtId="0" fontId="0" fillId="0" borderId="89" xfId="0" applyFill="1" applyBorder="1" applyAlignment="1">
      <alignment vertical="top" wrapText="1"/>
    </xf>
    <xf numFmtId="0" fontId="0" fillId="0" borderId="90" xfId="0" applyFill="1" applyBorder="1" applyAlignment="1">
      <alignment vertical="top" wrapText="1"/>
    </xf>
    <xf numFmtId="0" fontId="0" fillId="0" borderId="91" xfId="0" applyFill="1" applyBorder="1" applyAlignment="1">
      <alignment vertical="top" wrapText="1"/>
    </xf>
    <xf numFmtId="0" fontId="0" fillId="0" borderId="92" xfId="0" applyFill="1" applyBorder="1" applyAlignment="1">
      <alignment vertical="top" wrapText="1"/>
    </xf>
    <xf numFmtId="0" fontId="57" fillId="30" borderId="96" xfId="0" applyFont="1" applyFill="1" applyBorder="1" applyAlignment="1">
      <alignment horizontal="center" vertical="center" wrapText="1"/>
    </xf>
    <xf numFmtId="0" fontId="57" fillId="30" borderId="97" xfId="0" applyFont="1" applyFill="1" applyBorder="1" applyAlignment="1">
      <alignment horizontal="center" vertical="center" wrapText="1"/>
    </xf>
    <xf numFmtId="0" fontId="57" fillId="30" borderId="75" xfId="0" applyFont="1" applyFill="1" applyBorder="1" applyAlignment="1">
      <alignment horizontal="center" vertical="center" wrapText="1"/>
    </xf>
    <xf numFmtId="0" fontId="57" fillId="30" borderId="99" xfId="0" applyFont="1" applyFill="1" applyBorder="1" applyAlignment="1">
      <alignment horizontal="center" vertical="center" wrapText="1"/>
    </xf>
    <xf numFmtId="0" fontId="8" fillId="30" borderId="100" xfId="0" applyFont="1" applyFill="1" applyBorder="1" applyAlignment="1" applyProtection="1">
      <alignment horizontal="left" vertical="top" wrapText="1"/>
    </xf>
    <xf numFmtId="0" fontId="8" fillId="30" borderId="76" xfId="0" applyFont="1" applyFill="1" applyBorder="1" applyAlignment="1" applyProtection="1">
      <alignment horizontal="left" vertical="top" wrapText="1"/>
    </xf>
    <xf numFmtId="0" fontId="59" fillId="0" borderId="101" xfId="0" applyFont="1" applyFill="1" applyBorder="1" applyAlignment="1">
      <alignment horizontal="center" vertical="center" wrapText="1"/>
    </xf>
    <xf numFmtId="0" fontId="59" fillId="0" borderId="30" xfId="0" applyFont="1" applyFill="1" applyBorder="1" applyAlignment="1">
      <alignment horizontal="center" vertical="center" wrapText="1"/>
    </xf>
    <xf numFmtId="0" fontId="59" fillId="0" borderId="102" xfId="0" applyFont="1" applyFill="1" applyBorder="1" applyAlignment="1">
      <alignment horizontal="center" vertical="center" wrapText="1"/>
    </xf>
    <xf numFmtId="49" fontId="57" fillId="0" borderId="101" xfId="0" applyNumberFormat="1" applyFont="1" applyFill="1" applyBorder="1" applyAlignment="1">
      <alignment horizontal="center" vertical="center"/>
    </xf>
    <xf numFmtId="49" fontId="57" fillId="0" borderId="30" xfId="0" applyNumberFormat="1" applyFont="1" applyFill="1" applyBorder="1" applyAlignment="1">
      <alignment horizontal="center" vertical="center"/>
    </xf>
    <xf numFmtId="0" fontId="57" fillId="0" borderId="36" xfId="0" applyFont="1" applyFill="1" applyBorder="1" applyAlignment="1">
      <alignment horizontal="center" vertical="center"/>
    </xf>
    <xf numFmtId="0" fontId="57" fillId="0" borderId="78" xfId="0" applyFont="1" applyFill="1" applyBorder="1" applyAlignment="1">
      <alignment horizontal="center" vertical="center"/>
    </xf>
    <xf numFmtId="0" fontId="57" fillId="0" borderId="79" xfId="0" applyFont="1" applyFill="1" applyBorder="1" applyAlignment="1">
      <alignment horizontal="center" vertical="center"/>
    </xf>
    <xf numFmtId="49" fontId="57" fillId="0" borderId="81" xfId="0" applyNumberFormat="1" applyFont="1" applyBorder="1" applyAlignment="1">
      <alignment horizontal="center" vertical="center" wrapText="1"/>
    </xf>
    <xf numFmtId="49" fontId="57" fillId="0" borderId="82" xfId="0" applyNumberFormat="1" applyFont="1" applyBorder="1" applyAlignment="1">
      <alignment horizontal="center" vertical="center" wrapText="1"/>
    </xf>
    <xf numFmtId="49" fontId="57" fillId="0" borderId="83" xfId="0" applyNumberFormat="1" applyFont="1" applyBorder="1" applyAlignment="1">
      <alignment horizontal="center" vertical="center" wrapText="1"/>
    </xf>
    <xf numFmtId="49" fontId="57" fillId="0" borderId="32" xfId="0" applyNumberFormat="1" applyFont="1" applyBorder="1" applyAlignment="1">
      <alignment horizontal="center" vertical="center" wrapText="1"/>
    </xf>
    <xf numFmtId="49" fontId="57" fillId="0" borderId="84" xfId="0" applyNumberFormat="1" applyFont="1" applyBorder="1" applyAlignment="1">
      <alignment horizontal="center" vertical="center" wrapText="1"/>
    </xf>
    <xf numFmtId="49" fontId="57" fillId="0" borderId="75" xfId="0" applyNumberFormat="1" applyFont="1" applyBorder="1" applyAlignment="1">
      <alignment horizontal="center" vertical="center" wrapText="1"/>
    </xf>
    <xf numFmtId="49" fontId="57" fillId="0" borderId="105" xfId="0" applyNumberFormat="1" applyFont="1" applyBorder="1" applyAlignment="1">
      <alignment horizontal="center"/>
    </xf>
    <xf numFmtId="49" fontId="57" fillId="0" borderId="82" xfId="0" applyNumberFormat="1" applyFont="1" applyBorder="1" applyAlignment="1">
      <alignment horizontal="center"/>
    </xf>
    <xf numFmtId="49" fontId="57" fillId="0" borderId="83" xfId="0" applyNumberFormat="1" applyFont="1" applyBorder="1" applyAlignment="1">
      <alignment horizontal="center"/>
    </xf>
    <xf numFmtId="49" fontId="57" fillId="0" borderId="106" xfId="0" applyNumberFormat="1" applyFont="1" applyBorder="1" applyAlignment="1">
      <alignment horizontal="center"/>
    </xf>
    <xf numFmtId="49" fontId="57" fillId="0" borderId="84" xfId="0" applyNumberFormat="1" applyFont="1" applyBorder="1" applyAlignment="1">
      <alignment horizontal="center"/>
    </xf>
    <xf numFmtId="49" fontId="57" fillId="0" borderId="75" xfId="0" applyNumberFormat="1" applyFont="1" applyBorder="1" applyAlignment="1">
      <alignment horizontal="center"/>
    </xf>
    <xf numFmtId="0" fontId="8" fillId="0" borderId="103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104" xfId="0" applyFont="1" applyBorder="1" applyAlignment="1">
      <alignment horizontal="center" vertical="center"/>
    </xf>
    <xf numFmtId="49" fontId="57" fillId="0" borderId="88" xfId="0" applyNumberFormat="1" applyFont="1" applyBorder="1" applyAlignment="1">
      <alignment horizontal="center"/>
    </xf>
    <xf numFmtId="49" fontId="57" fillId="0" borderId="107" xfId="0" applyNumberFormat="1" applyFont="1" applyBorder="1" applyAlignment="1">
      <alignment horizontal="center"/>
    </xf>
    <xf numFmtId="0" fontId="50" fillId="34" borderId="3" xfId="0" applyFont="1" applyFill="1" applyBorder="1" applyAlignment="1">
      <alignment horizontal="center" vertical="center" wrapText="1"/>
    </xf>
    <xf numFmtId="0" fontId="45" fillId="12" borderId="3" xfId="0" applyFont="1" applyFill="1" applyBorder="1" applyAlignment="1">
      <alignment horizontal="center" vertical="center" wrapText="1"/>
    </xf>
    <xf numFmtId="0" fontId="45" fillId="9" borderId="3" xfId="0" applyFont="1" applyFill="1" applyBorder="1" applyAlignment="1">
      <alignment horizontal="center" vertical="center" wrapText="1"/>
    </xf>
    <xf numFmtId="0" fontId="8" fillId="0" borderId="108" xfId="0" applyFont="1" applyBorder="1" applyAlignment="1">
      <alignment vertical="top" wrapText="1"/>
    </xf>
    <xf numFmtId="0" fontId="8" fillId="0" borderId="109" xfId="0" applyFont="1" applyBorder="1" applyAlignment="1">
      <alignment vertical="top" wrapText="1"/>
    </xf>
  </cellXfs>
  <cellStyles count="41">
    <cellStyle name="Excel Built-in Comma" xfId="7"/>
    <cellStyle name="Excel Built-in Comma 2" xfId="24"/>
    <cellStyle name="Excel Built-in Currency" xfId="8"/>
    <cellStyle name="Excel Built-in Currency 2" xfId="25"/>
    <cellStyle name="Excel Built-in Explanatory Text" xfId="9"/>
    <cellStyle name="Excel Built-in Explanatory Text 2" xfId="26"/>
    <cellStyle name="Excel Built-in Hyperlink" xfId="10"/>
    <cellStyle name="Excel Built-in Hyperlink 2" xfId="27"/>
    <cellStyle name="Excel Built-in Percent" xfId="11"/>
    <cellStyle name="Excel Built-in Percent 2" xfId="28"/>
    <cellStyle name="Heading" xfId="12"/>
    <cellStyle name="Heading 2" xfId="29"/>
    <cellStyle name="Heading1" xfId="13"/>
    <cellStyle name="Heading1 2" xfId="30"/>
    <cellStyle name="Hiperlink" xfId="4" builtinId="8"/>
    <cellStyle name="Hiperlink 2" xfId="37"/>
    <cellStyle name="Moeda" xfId="2" builtinId="4"/>
    <cellStyle name="Moeda 2" xfId="14"/>
    <cellStyle name="Moeda 2 2" xfId="38"/>
    <cellStyle name="Moeda 3" xfId="39"/>
    <cellStyle name="Normal" xfId="0" builtinId="0"/>
    <cellStyle name="Normal 10 10" xfId="15"/>
    <cellStyle name="Normal 10 10 2" xfId="31"/>
    <cellStyle name="Normal 2" xfId="16"/>
    <cellStyle name="Normal 2 2" xfId="36"/>
    <cellStyle name="Normal 2 2 3 3" xfId="17"/>
    <cellStyle name="Normal 2 2 3 3 2" xfId="32"/>
    <cellStyle name="Normal 3" xfId="6"/>
    <cellStyle name="Normal 4" xfId="23"/>
    <cellStyle name="Normal 5 2 2 3" xfId="18"/>
    <cellStyle name="Normal 5 2 2 3 2" xfId="33"/>
    <cellStyle name="Porcentagem" xfId="3" builtinId="5"/>
    <cellStyle name="Porcentagem 2" xfId="19"/>
    <cellStyle name="Result" xfId="20"/>
    <cellStyle name="Result 2" xfId="34"/>
    <cellStyle name="Result2" xfId="21"/>
    <cellStyle name="Result2 2" xfId="35"/>
    <cellStyle name="Texto Explicativo" xfId="5" builtinId="53" customBuiltin="1"/>
    <cellStyle name="Vírgula" xfId="1" builtinId="3"/>
    <cellStyle name="Vírgula 2" xfId="22"/>
    <cellStyle name="Vírgula 3" xfId="4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BFBFBF"/>
      <rgbColor rgb="FF4472C4"/>
      <rgbColor rgb="FF687EEA"/>
      <rgbColor rgb="FF993366"/>
      <rgbColor rgb="FFFFF2CC"/>
      <rgbColor rgb="FFDEEBF7"/>
      <rgbColor rgb="FF660066"/>
      <rgbColor rgb="FFFF8080"/>
      <rgbColor rgb="FF0563C1"/>
      <rgbColor rgb="FFD6DCE5"/>
      <rgbColor rgb="FF000080"/>
      <rgbColor rgb="FFFF00FF"/>
      <rgbColor rgb="FFE7E6E6"/>
      <rgbColor rgb="FF00FFFF"/>
      <rgbColor rgb="FF800080"/>
      <rgbColor rgb="FF800000"/>
      <rgbColor rgb="FF2E75B6"/>
      <rgbColor rgb="FF0000FF"/>
      <rgbColor rgb="FF00B0F0"/>
      <rgbColor rgb="FFDAE3F3"/>
      <rgbColor rgb="FFD7E4BD"/>
      <rgbColor rgb="FFF2F2F2"/>
      <rgbColor rgb="FFD0CECE"/>
      <rgbColor rgb="FFDBDBDB"/>
      <rgbColor rgb="FFD9D9D9"/>
      <rgbColor rgb="FFD8E4BC"/>
      <rgbColor rgb="FF3552E3"/>
      <rgbColor rgb="FF33CCCC"/>
      <rgbColor rgb="FF99CC00"/>
      <rgbColor rgb="FFDDDDDD"/>
      <rgbColor rgb="FFFF9900"/>
      <rgbColor rgb="FFFF3333"/>
      <rgbColor rgb="FF595959"/>
      <rgbColor rgb="FFB2B2B2"/>
      <rgbColor rgb="FF003366"/>
      <rgbColor rgb="FF2F75B5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771480</xdr:colOff>
      <xdr:row>3</xdr:row>
      <xdr:rowOff>47520</xdr:rowOff>
    </xdr:from>
    <xdr:to>
      <xdr:col>5</xdr:col>
      <xdr:colOff>646560</xdr:colOff>
      <xdr:row>5</xdr:row>
      <xdr:rowOff>160920</xdr:rowOff>
    </xdr:to>
    <xdr:sp macro="" textlink="">
      <xdr:nvSpPr>
        <xdr:cNvPr id="2" name="CustomShape 1" hidden="1"/>
        <xdr:cNvSpPr/>
      </xdr:nvSpPr>
      <xdr:spPr>
        <a:xfrm>
          <a:off x="4466880" y="752040"/>
          <a:ext cx="989640" cy="494640"/>
        </a:xfrm>
        <a:prstGeom prst="rect">
          <a:avLst/>
        </a:prstGeom>
        <a:solidFill>
          <a:srgbClr val="FFFFC0"/>
        </a:solidFill>
        <a:ln w="12600">
          <a:miter/>
          <a:headEnd type="triangle" w="med" len="med"/>
        </a:ln>
        <a:effectLst>
          <a:outerShdw dist="35921" dir="2700000" algn="ctr" rotWithShape="0">
            <a:srgbClr val="000000"/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pt-BR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Em Função do Valor dos insumos</a:t>
          </a:r>
          <a:endParaRPr lang="pt-BR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6</xdr:col>
      <xdr:colOff>200160</xdr:colOff>
      <xdr:row>4</xdr:row>
      <xdr:rowOff>114480</xdr:rowOff>
    </xdr:from>
    <xdr:to>
      <xdr:col>7</xdr:col>
      <xdr:colOff>380160</xdr:colOff>
      <xdr:row>7</xdr:row>
      <xdr:rowOff>141840</xdr:rowOff>
    </xdr:to>
    <xdr:sp macro="" textlink="">
      <xdr:nvSpPr>
        <xdr:cNvPr id="3" name="CustomShape 1" hidden="1"/>
        <xdr:cNvSpPr/>
      </xdr:nvSpPr>
      <xdr:spPr>
        <a:xfrm>
          <a:off x="5772240" y="1009800"/>
          <a:ext cx="941760" cy="598680"/>
        </a:xfrm>
        <a:prstGeom prst="rect">
          <a:avLst/>
        </a:prstGeom>
        <a:solidFill>
          <a:srgbClr val="FFFFC0"/>
        </a:solidFill>
        <a:ln w="12600">
          <a:miter/>
          <a:headEnd type="triangle" w="med" len="med"/>
        </a:ln>
        <a:effectLst>
          <a:outerShdw dist="35921" dir="2700000" algn="ctr" rotWithShape="0">
            <a:srgbClr val="000000"/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pt-BR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Em Função  da Soma das Horas</a:t>
          </a:r>
          <a:endParaRPr lang="pt-BR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18720</xdr:colOff>
      <xdr:row>49</xdr:row>
      <xdr:rowOff>56880</xdr:rowOff>
    </xdr:to>
    <xdr:sp macro="" textlink="">
      <xdr:nvSpPr>
        <xdr:cNvPr id="4" name="CustomShape 1" hidden="1"/>
        <xdr:cNvSpPr/>
      </xdr:nvSpPr>
      <xdr:spPr>
        <a:xfrm>
          <a:off x="0" y="0"/>
          <a:ext cx="991512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18720</xdr:colOff>
      <xdr:row>49</xdr:row>
      <xdr:rowOff>56880</xdr:rowOff>
    </xdr:to>
    <xdr:sp macro="" textlink="">
      <xdr:nvSpPr>
        <xdr:cNvPr id="5" name="CustomShape 1" hidden="1"/>
        <xdr:cNvSpPr/>
      </xdr:nvSpPr>
      <xdr:spPr>
        <a:xfrm>
          <a:off x="0" y="0"/>
          <a:ext cx="991512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133350</xdr:colOff>
      <xdr:row>49</xdr:row>
      <xdr:rowOff>57150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133350</xdr:colOff>
      <xdr:row>49</xdr:row>
      <xdr:rowOff>57150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200003" cy="719998"/>
    <xdr:pic>
      <xdr:nvPicPr>
        <xdr:cNvPr id="2" name="Imagem 2" descr="HEMU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7200003" cy="71999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LICI~1/2024/REFORM~1/DOCUME~3/REFORM~1/PLANILHA%20BASE%20DE%20CUSTO%20-%20CONCLUS&#195;O%20ESCADA%20INC&#202;NDIO%20HEM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ATUALIZADA PROC.2022"/>
      <sheetName val="MEMORIAL DE CALCULO "/>
      <sheetName val="BDI"/>
    </sheetNames>
    <sheetDataSet>
      <sheetData sheetId="0">
        <row r="13">
          <cell r="C13" t="str">
            <v xml:space="preserve">SERVIÇOS PRELIMINARES </v>
          </cell>
        </row>
        <row r="51">
          <cell r="C51" t="str">
            <v xml:space="preserve">REVESTIMENTOS DE PAREDE </v>
          </cell>
        </row>
        <row r="54">
          <cell r="C54" t="str">
            <v>CHAPISCO COMUM</v>
          </cell>
        </row>
        <row r="55">
          <cell r="C55" t="str">
            <v>EMBOÇO (1CI:4 ARML)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view="pageBreakPreview" zoomScale="75" zoomScaleNormal="60" zoomScalePageLayoutView="75" workbookViewId="0">
      <selection activeCell="D22" sqref="D22"/>
    </sheetView>
  </sheetViews>
  <sheetFormatPr defaultRowHeight="15"/>
  <cols>
    <col min="1" max="1" width="1.28515625"/>
    <col min="2" max="2" width="12.85546875"/>
    <col min="3" max="3" width="18.140625"/>
    <col min="4" max="4" width="104.140625"/>
    <col min="5" max="8" width="7.7109375"/>
    <col min="9" max="9" width="8.5703125"/>
    <col min="10" max="10" width="10.5703125"/>
    <col min="11" max="1025" width="7.7109375"/>
  </cols>
  <sheetData>
    <row r="2" spans="2:10">
      <c r="B2" s="1"/>
      <c r="C2" s="1"/>
      <c r="D2" s="1"/>
    </row>
    <row r="3" spans="2:10" ht="15" customHeight="1">
      <c r="B3" s="403" t="s">
        <v>0</v>
      </c>
      <c r="C3" s="2" t="s">
        <v>1</v>
      </c>
      <c r="D3" s="3" t="s">
        <v>2</v>
      </c>
    </row>
    <row r="4" spans="2:10">
      <c r="B4" s="403"/>
      <c r="C4" s="2" t="s">
        <v>3</v>
      </c>
      <c r="D4" s="3" t="s">
        <v>408</v>
      </c>
    </row>
    <row r="5" spans="2:10">
      <c r="B5" s="4"/>
      <c r="C5" s="2" t="s">
        <v>4</v>
      </c>
      <c r="D5" s="3" t="s">
        <v>5</v>
      </c>
    </row>
    <row r="6" spans="2:10">
      <c r="B6" s="4"/>
      <c r="C6" s="2" t="s">
        <v>6</v>
      </c>
      <c r="D6" s="3" t="s">
        <v>179</v>
      </c>
    </row>
    <row r="7" spans="2:10">
      <c r="B7" s="4"/>
      <c r="C7" s="2" t="s">
        <v>7</v>
      </c>
      <c r="D7" s="5" t="s">
        <v>8</v>
      </c>
    </row>
    <row r="8" spans="2:10">
      <c r="B8" s="4"/>
      <c r="C8" s="2" t="s">
        <v>9</v>
      </c>
      <c r="D8" s="6">
        <v>45532</v>
      </c>
      <c r="I8" s="7"/>
      <c r="J8" s="7"/>
    </row>
    <row r="9" spans="2:10">
      <c r="B9" s="1"/>
      <c r="C9" s="1"/>
      <c r="D9" s="1"/>
    </row>
    <row r="10" spans="2:10" ht="15" customHeight="1">
      <c r="B10" s="403" t="s">
        <v>10</v>
      </c>
      <c r="C10" s="2" t="s">
        <v>11</v>
      </c>
      <c r="D10" s="3"/>
    </row>
    <row r="11" spans="2:10">
      <c r="B11" s="403"/>
      <c r="C11" s="2" t="s">
        <v>12</v>
      </c>
      <c r="D11" s="3"/>
    </row>
    <row r="12" spans="2:10">
      <c r="B12" s="403"/>
      <c r="C12" s="2" t="s">
        <v>13</v>
      </c>
      <c r="D12" s="3"/>
    </row>
    <row r="13" spans="2:10">
      <c r="B13" s="403"/>
      <c r="C13" s="2" t="s">
        <v>14</v>
      </c>
      <c r="D13" s="3"/>
    </row>
    <row r="14" spans="2:10">
      <c r="B14" s="403"/>
      <c r="C14" s="2" t="s">
        <v>15</v>
      </c>
      <c r="D14" s="3"/>
    </row>
    <row r="15" spans="2:10">
      <c r="B15" s="403"/>
      <c r="C15" s="2" t="s">
        <v>16</v>
      </c>
      <c r="D15" s="3"/>
    </row>
    <row r="16" spans="2:10">
      <c r="B16" s="403"/>
      <c r="C16" s="2" t="s">
        <v>17</v>
      </c>
      <c r="D16" s="8"/>
    </row>
  </sheetData>
  <mergeCells count="2">
    <mergeCell ref="B3:B4"/>
    <mergeCell ref="B10:B16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15"/>
  <sheetViews>
    <sheetView tabSelected="1" view="pageBreakPreview" zoomScale="85" zoomScaleNormal="60" zoomScaleSheetLayoutView="85" zoomScalePageLayoutView="75" workbookViewId="0">
      <selection sqref="A1:M4"/>
    </sheetView>
  </sheetViews>
  <sheetFormatPr defaultRowHeight="15"/>
  <cols>
    <col min="1" max="2" width="15.85546875" style="313"/>
    <col min="3" max="3" width="94.28515625" style="181"/>
    <col min="4" max="4" width="9.28515625" style="313"/>
    <col min="5" max="5" width="12.5703125" style="181"/>
    <col min="6" max="6" width="13" style="313"/>
    <col min="7" max="7" width="15.5703125" style="181"/>
    <col min="8" max="8" width="9.85546875" style="313"/>
    <col min="9" max="9" width="16.85546875" style="181"/>
    <col min="10" max="10" width="18.140625" style="314"/>
    <col min="11" max="11" width="10.140625" style="315"/>
    <col min="12" max="12" width="18.42578125" style="316"/>
    <col min="13" max="13" width="13.140625" style="181"/>
    <col min="14" max="14" width="11.85546875" style="181" hidden="1" customWidth="1"/>
    <col min="15" max="15" width="9.140625" style="181" hidden="1" customWidth="1"/>
    <col min="16" max="16" width="11.5703125" style="181" hidden="1" customWidth="1"/>
    <col min="17" max="17" width="9.140625" style="181" hidden="1" customWidth="1"/>
    <col min="18" max="18" width="9.140625" style="181" customWidth="1"/>
    <col min="19" max="1025" width="7.7109375" style="181"/>
    <col min="1026" max="16384" width="9.140625" style="182"/>
  </cols>
  <sheetData>
    <row r="1" spans="1:14" ht="15" customHeight="1">
      <c r="A1" s="405" t="s">
        <v>234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</row>
    <row r="2" spans="1:14">
      <c r="A2" s="405"/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</row>
    <row r="3" spans="1:14">
      <c r="A3" s="405"/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</row>
    <row r="4" spans="1:14">
      <c r="A4" s="405"/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</row>
    <row r="5" spans="1:14" ht="18" hidden="1" customHeight="1">
      <c r="A5" s="406"/>
      <c r="B5" s="406"/>
      <c r="C5" s="406"/>
      <c r="D5" s="183"/>
      <c r="E5" s="183"/>
      <c r="F5" s="183"/>
      <c r="G5" s="183"/>
      <c r="H5" s="184"/>
      <c r="I5" s="407"/>
      <c r="J5" s="407"/>
      <c r="K5" s="407"/>
      <c r="L5" s="407"/>
      <c r="M5" s="407"/>
    </row>
    <row r="6" spans="1:14" ht="18" hidden="1" customHeight="1">
      <c r="A6" s="408"/>
      <c r="B6" s="408"/>
      <c r="C6" s="408"/>
      <c r="D6" s="185"/>
      <c r="E6" s="185"/>
      <c r="F6" s="186"/>
      <c r="G6" s="185"/>
      <c r="H6" s="187"/>
      <c r="I6" s="409"/>
      <c r="J6" s="409"/>
      <c r="K6" s="409"/>
      <c r="L6" s="409"/>
      <c r="M6" s="409"/>
    </row>
    <row r="7" spans="1:14" ht="18" customHeight="1">
      <c r="A7" s="188"/>
      <c r="B7" s="189"/>
      <c r="C7" s="189"/>
      <c r="D7" s="189"/>
      <c r="E7" s="189"/>
      <c r="F7" s="189"/>
      <c r="G7" s="189"/>
      <c r="H7" s="189"/>
      <c r="I7" s="189"/>
      <c r="J7" s="189"/>
      <c r="K7" s="190"/>
      <c r="L7" s="189"/>
      <c r="M7" s="191"/>
    </row>
    <row r="8" spans="1:14" ht="29.25" customHeight="1">
      <c r="A8" s="192" t="s">
        <v>18</v>
      </c>
      <c r="B8" s="410" t="str">
        <f>DADOS_!D3</f>
        <v>HOSPITALAR</v>
      </c>
      <c r="C8" s="410"/>
      <c r="D8" s="411" t="s">
        <v>19</v>
      </c>
      <c r="E8" s="411"/>
      <c r="F8" s="193">
        <f>DADOS_!D8</f>
        <v>45532</v>
      </c>
      <c r="G8" s="194" t="s">
        <v>20</v>
      </c>
      <c r="H8" s="195"/>
      <c r="I8" s="412" t="s">
        <v>21</v>
      </c>
      <c r="J8" s="412"/>
      <c r="K8" s="413" t="s">
        <v>22</v>
      </c>
      <c r="L8" s="413"/>
      <c r="M8" s="196"/>
    </row>
    <row r="9" spans="1:14" ht="31.15" customHeight="1">
      <c r="A9" s="192" t="s">
        <v>23</v>
      </c>
      <c r="B9" s="410" t="str">
        <f>DADOS_!D4</f>
        <v>MANUTENÇÃO PREDIAL - REFORMA DAS ENFERMARIAS DO 1º PAVIMENTO + ABERTURA DE ESCADA DE EMERGÊNCIA</v>
      </c>
      <c r="C9" s="410"/>
      <c r="D9" s="197"/>
      <c r="E9" s="198"/>
      <c r="F9" s="197"/>
      <c r="G9" s="414" t="s">
        <v>288</v>
      </c>
      <c r="H9" s="414"/>
      <c r="I9" s="414"/>
      <c r="J9" s="414"/>
      <c r="K9" s="414"/>
      <c r="L9" s="414"/>
      <c r="M9" s="414"/>
    </row>
    <row r="10" spans="1:14" ht="18" customHeight="1">
      <c r="A10" s="192" t="s">
        <v>24</v>
      </c>
      <c r="B10" s="410" t="s">
        <v>5</v>
      </c>
      <c r="C10" s="410"/>
      <c r="D10" s="410"/>
      <c r="E10" s="410"/>
      <c r="F10" s="197"/>
      <c r="G10" s="414"/>
      <c r="H10" s="414"/>
      <c r="I10" s="414"/>
      <c r="J10" s="414"/>
      <c r="K10" s="414"/>
      <c r="L10" s="414"/>
      <c r="M10" s="414"/>
    </row>
    <row r="11" spans="1:14" ht="18" customHeight="1">
      <c r="A11" s="199"/>
      <c r="B11" s="200"/>
      <c r="C11" s="200"/>
      <c r="D11" s="200"/>
      <c r="E11" s="200"/>
      <c r="F11" s="197"/>
      <c r="G11" s="414"/>
      <c r="H11" s="414"/>
      <c r="I11" s="414"/>
      <c r="J11" s="414"/>
      <c r="K11" s="414"/>
      <c r="L11" s="414"/>
      <c r="M11" s="414"/>
    </row>
    <row r="12" spans="1:14" ht="18" customHeight="1">
      <c r="A12" s="201" t="s">
        <v>25</v>
      </c>
      <c r="B12" s="415" t="s">
        <v>178</v>
      </c>
      <c r="C12" s="415"/>
      <c r="D12" s="202" t="s">
        <v>26</v>
      </c>
      <c r="E12" s="416" t="str">
        <f>DADOS_!D7</f>
        <v>02.529.964/0003-19</v>
      </c>
      <c r="F12" s="416"/>
      <c r="G12" s="414"/>
      <c r="H12" s="414"/>
      <c r="I12" s="414"/>
      <c r="J12" s="414"/>
      <c r="K12" s="414"/>
      <c r="L12" s="414"/>
      <c r="M12" s="414"/>
    </row>
    <row r="13" spans="1:14" ht="18" customHeight="1">
      <c r="A13" s="421" t="s">
        <v>27</v>
      </c>
      <c r="B13" s="421" t="s">
        <v>28</v>
      </c>
      <c r="C13" s="421" t="s">
        <v>29</v>
      </c>
      <c r="D13" s="421" t="s">
        <v>30</v>
      </c>
      <c r="E13" s="422" t="s">
        <v>31</v>
      </c>
      <c r="F13" s="419" t="s">
        <v>32</v>
      </c>
      <c r="G13" s="419"/>
      <c r="H13" s="419" t="s">
        <v>33</v>
      </c>
      <c r="I13" s="419"/>
      <c r="J13" s="420" t="s">
        <v>34</v>
      </c>
      <c r="K13" s="417" t="s">
        <v>35</v>
      </c>
      <c r="L13" s="420" t="s">
        <v>36</v>
      </c>
      <c r="M13" s="417" t="s">
        <v>37</v>
      </c>
      <c r="N13" s="418" t="s">
        <v>38</v>
      </c>
    </row>
    <row r="14" spans="1:14" ht="18" customHeight="1">
      <c r="A14" s="421"/>
      <c r="B14" s="421"/>
      <c r="C14" s="421"/>
      <c r="D14" s="421"/>
      <c r="E14" s="422"/>
      <c r="F14" s="203" t="s">
        <v>39</v>
      </c>
      <c r="G14" s="203" t="s">
        <v>40</v>
      </c>
      <c r="H14" s="203" t="s">
        <v>39</v>
      </c>
      <c r="I14" s="203" t="s">
        <v>40</v>
      </c>
      <c r="J14" s="420"/>
      <c r="K14" s="417"/>
      <c r="L14" s="420"/>
      <c r="M14" s="417"/>
      <c r="N14" s="418"/>
    </row>
    <row r="15" spans="1:14" ht="18" customHeight="1">
      <c r="A15" s="404" t="s">
        <v>41</v>
      </c>
      <c r="B15" s="404"/>
      <c r="C15" s="404"/>
      <c r="D15" s="404"/>
      <c r="E15" s="404"/>
      <c r="F15" s="404"/>
      <c r="G15" s="404"/>
      <c r="H15" s="404"/>
      <c r="I15" s="404"/>
      <c r="J15" s="404"/>
      <c r="K15" s="404"/>
      <c r="L15" s="404"/>
      <c r="M15" s="404"/>
    </row>
    <row r="16" spans="1:14" ht="18" customHeight="1">
      <c r="A16" s="204">
        <v>1</v>
      </c>
      <c r="B16" s="204"/>
      <c r="C16" s="205" t="s">
        <v>42</v>
      </c>
      <c r="D16" s="204"/>
      <c r="E16" s="206"/>
      <c r="F16" s="207"/>
      <c r="G16" s="208"/>
      <c r="H16" s="209"/>
      <c r="I16" s="208"/>
      <c r="J16" s="210"/>
      <c r="K16" s="211"/>
      <c r="L16" s="212"/>
      <c r="M16" s="213"/>
    </row>
    <row r="17" spans="1:16" ht="14.25" customHeight="1">
      <c r="A17" s="214">
        <v>270501</v>
      </c>
      <c r="B17" s="214" t="s">
        <v>38</v>
      </c>
      <c r="C17" s="215" t="s">
        <v>44</v>
      </c>
      <c r="D17" s="214" t="s">
        <v>45</v>
      </c>
      <c r="E17" s="216">
        <f>'MEMORIAL DE CÁLCULOS'!I77</f>
        <v>687.43000000000006</v>
      </c>
      <c r="F17" s="217">
        <v>1.91</v>
      </c>
      <c r="G17" s="218">
        <f t="shared" ref="G17:G21" si="0">F17*E17</f>
        <v>1312.9913000000001</v>
      </c>
      <c r="H17" s="217">
        <v>1.8</v>
      </c>
      <c r="I17" s="218">
        <f t="shared" ref="I17:I21" si="1">H17*E17</f>
        <v>1237.3740000000003</v>
      </c>
      <c r="J17" s="219">
        <f t="shared" ref="J17:J21" si="2">G17+I17</f>
        <v>2550.3653000000004</v>
      </c>
      <c r="K17" s="220">
        <f>CALCULO_BDI_DESONERADO!D$25</f>
        <v>0.24717567842364541</v>
      </c>
      <c r="L17" s="219">
        <f t="shared" ref="L17:L21" si="3">ROUND(J17*(1+K17),2)</f>
        <v>3180.75</v>
      </c>
      <c r="M17" s="221">
        <f>L17/$L$115</f>
        <v>7.6278061309647373E-3</v>
      </c>
      <c r="N17" s="222">
        <f>J17</f>
        <v>2550.3653000000004</v>
      </c>
    </row>
    <row r="18" spans="1:16" s="181" customFormat="1" ht="31.15" customHeight="1">
      <c r="A18" s="223" t="s">
        <v>46</v>
      </c>
      <c r="B18" s="223" t="s">
        <v>47</v>
      </c>
      <c r="C18" s="224" t="s">
        <v>48</v>
      </c>
      <c r="D18" s="223" t="s">
        <v>49</v>
      </c>
      <c r="E18" s="225">
        <f>MEMORIAL_DE_CALCULO_ADMINIST!C23</f>
        <v>12</v>
      </c>
      <c r="F18" s="169">
        <v>550</v>
      </c>
      <c r="G18" s="218">
        <f t="shared" si="0"/>
        <v>6600</v>
      </c>
      <c r="H18" s="169">
        <v>0</v>
      </c>
      <c r="I18" s="218">
        <f t="shared" si="1"/>
        <v>0</v>
      </c>
      <c r="J18" s="219">
        <f t="shared" si="2"/>
        <v>6600</v>
      </c>
      <c r="K18" s="220">
        <f>CALCULO_BDI_DESONERADO!D51</f>
        <v>0.14476179105345111</v>
      </c>
      <c r="L18" s="219">
        <f t="shared" si="3"/>
        <v>7555.43</v>
      </c>
      <c r="M18" s="221">
        <f>L18/$L$115</f>
        <v>1.8118794396313736E-2</v>
      </c>
    </row>
    <row r="19" spans="1:16" s="181" customFormat="1" ht="21.95" customHeight="1">
      <c r="A19" s="214">
        <v>271500</v>
      </c>
      <c r="B19" s="214" t="s">
        <v>38</v>
      </c>
      <c r="C19" s="215" t="s">
        <v>50</v>
      </c>
      <c r="D19" s="214" t="s">
        <v>51</v>
      </c>
      <c r="E19" s="226">
        <v>357</v>
      </c>
      <c r="F19" s="217">
        <v>2.78</v>
      </c>
      <c r="G19" s="218">
        <f t="shared" si="0"/>
        <v>992.45999999999992</v>
      </c>
      <c r="H19" s="217">
        <v>0</v>
      </c>
      <c r="I19" s="218">
        <f t="shared" si="1"/>
        <v>0</v>
      </c>
      <c r="J19" s="219">
        <f t="shared" si="2"/>
        <v>992.45999999999992</v>
      </c>
      <c r="K19" s="220">
        <f>CALCULO_BDI_DESONERADO!D$25</f>
        <v>0.24717567842364541</v>
      </c>
      <c r="L19" s="219">
        <f t="shared" si="3"/>
        <v>1237.77</v>
      </c>
      <c r="M19" s="221">
        <f>L19/$L$115</f>
        <v>2.9683155214098008E-3</v>
      </c>
      <c r="N19" s="227"/>
    </row>
    <row r="20" spans="1:16" s="181" customFormat="1" ht="19.5" customHeight="1">
      <c r="A20" s="223">
        <v>271502</v>
      </c>
      <c r="B20" s="223" t="s">
        <v>38</v>
      </c>
      <c r="C20" s="215" t="s">
        <v>52</v>
      </c>
      <c r="D20" s="214" t="s">
        <v>51</v>
      </c>
      <c r="E20" s="216">
        <v>357</v>
      </c>
      <c r="F20" s="169">
        <v>13.39</v>
      </c>
      <c r="G20" s="218">
        <f t="shared" si="0"/>
        <v>4780.2300000000005</v>
      </c>
      <c r="H20" s="217">
        <v>0</v>
      </c>
      <c r="I20" s="218">
        <f t="shared" si="1"/>
        <v>0</v>
      </c>
      <c r="J20" s="219">
        <f t="shared" si="2"/>
        <v>4780.2300000000005</v>
      </c>
      <c r="K20" s="220">
        <f>CALCULO_BDI_DESONERADO!D$25</f>
        <v>0.24717567842364541</v>
      </c>
      <c r="L20" s="219">
        <f t="shared" si="3"/>
        <v>5961.79</v>
      </c>
      <c r="M20" s="221">
        <f>L20/$L$115</f>
        <v>1.4297061483462789E-2</v>
      </c>
      <c r="N20" s="227"/>
    </row>
    <row r="21" spans="1:16" s="181" customFormat="1" ht="19.5" customHeight="1">
      <c r="A21" s="223">
        <v>1</v>
      </c>
      <c r="B21" s="223" t="s">
        <v>47</v>
      </c>
      <c r="C21" s="215" t="s">
        <v>53</v>
      </c>
      <c r="D21" s="214" t="s">
        <v>54</v>
      </c>
      <c r="E21" s="216">
        <f>E20*2</f>
        <v>714</v>
      </c>
      <c r="F21" s="169">
        <v>4.3</v>
      </c>
      <c r="G21" s="218">
        <f t="shared" si="0"/>
        <v>3070.2</v>
      </c>
      <c r="H21" s="217">
        <v>0</v>
      </c>
      <c r="I21" s="218">
        <f t="shared" si="1"/>
        <v>0</v>
      </c>
      <c r="J21" s="219">
        <f t="shared" si="2"/>
        <v>3070.2</v>
      </c>
      <c r="K21" s="220">
        <f>CALCULO_BDI_DESONERADO!D$25</f>
        <v>0.24717567842364541</v>
      </c>
      <c r="L21" s="219">
        <f t="shared" si="3"/>
        <v>3829.08</v>
      </c>
      <c r="M21" s="221">
        <f>L21/$L$115</f>
        <v>9.1825764049216253E-3</v>
      </c>
      <c r="N21" s="227"/>
    </row>
    <row r="22" spans="1:16" s="236" customFormat="1">
      <c r="A22" s="228"/>
      <c r="B22" s="229"/>
      <c r="C22" s="230" t="s">
        <v>55</v>
      </c>
      <c r="D22" s="231"/>
      <c r="E22" s="231"/>
      <c r="F22" s="232"/>
      <c r="G22" s="233"/>
      <c r="H22" s="232"/>
      <c r="I22" s="233"/>
      <c r="J22" s="234">
        <f>SUM(J17:J21)</f>
        <v>17993.255300000001</v>
      </c>
      <c r="K22" s="234"/>
      <c r="L22" s="234">
        <f>SUM(L17:L21)</f>
        <v>21764.82</v>
      </c>
      <c r="M22" s="235">
        <f>L22/L115</f>
        <v>5.2194553937072681E-2</v>
      </c>
      <c r="O22" s="237">
        <f>L22</f>
        <v>21764.82</v>
      </c>
    </row>
    <row r="23" spans="1:16">
      <c r="A23" s="204">
        <v>2</v>
      </c>
      <c r="B23" s="204"/>
      <c r="C23" s="205" t="s">
        <v>41</v>
      </c>
      <c r="D23" s="204"/>
      <c r="E23" s="238"/>
      <c r="F23" s="207"/>
      <c r="G23" s="207"/>
      <c r="H23" s="209"/>
      <c r="I23" s="209"/>
      <c r="J23" s="210"/>
      <c r="K23" s="210"/>
      <c r="L23" s="210"/>
      <c r="M23" s="239"/>
      <c r="O23" s="236"/>
      <c r="P23" s="237">
        <f>L22+L26</f>
        <v>135686.84</v>
      </c>
    </row>
    <row r="24" spans="1:16">
      <c r="A24" s="214">
        <v>250101</v>
      </c>
      <c r="B24" s="214" t="s">
        <v>38</v>
      </c>
      <c r="C24" s="215" t="s">
        <v>81</v>
      </c>
      <c r="D24" s="214" t="s">
        <v>57</v>
      </c>
      <c r="E24" s="216">
        <f>MEMORIAL_DE_CALCULO_ADMINIST!E30</f>
        <v>528</v>
      </c>
      <c r="F24" s="217">
        <v>0</v>
      </c>
      <c r="G24" s="218">
        <f>F24*E24</f>
        <v>0</v>
      </c>
      <c r="H24" s="217">
        <v>71.05</v>
      </c>
      <c r="I24" s="218">
        <f>H24*E24</f>
        <v>37514.400000000001</v>
      </c>
      <c r="J24" s="219">
        <f>G24+I24</f>
        <v>37514.400000000001</v>
      </c>
      <c r="K24" s="220">
        <f>CALCULO_BDI_DESONERADO!D$25</f>
        <v>0.24717567842364541</v>
      </c>
      <c r="L24" s="219">
        <f>ROUND(J24*(1+K24),2)</f>
        <v>46787.05</v>
      </c>
      <c r="M24" s="221">
        <f>L24/$L$115</f>
        <v>0.11220075354547002</v>
      </c>
      <c r="O24" s="236"/>
      <c r="P24" s="181">
        <v>30</v>
      </c>
    </row>
    <row r="25" spans="1:16">
      <c r="A25" s="214">
        <v>250103</v>
      </c>
      <c r="B25" s="214" t="s">
        <v>38</v>
      </c>
      <c r="C25" s="215" t="s">
        <v>168</v>
      </c>
      <c r="D25" s="214" t="s">
        <v>57</v>
      </c>
      <c r="E25" s="216">
        <f>MEMORIAL_DE_CALCULO_ADMINIST!E35</f>
        <v>2640</v>
      </c>
      <c r="F25" s="217">
        <v>0</v>
      </c>
      <c r="G25" s="218">
        <f>F25*E25</f>
        <v>0</v>
      </c>
      <c r="H25" s="217">
        <v>20.39</v>
      </c>
      <c r="I25" s="218">
        <f>H25*E25</f>
        <v>53829.599999999999</v>
      </c>
      <c r="J25" s="219">
        <f>G25+I25</f>
        <v>53829.599999999999</v>
      </c>
      <c r="K25" s="220">
        <f>CALCULO_BDI_DESONERADO!D$25</f>
        <v>0.24717567842364541</v>
      </c>
      <c r="L25" s="219">
        <f>ROUND(J25*(1+K25),2)</f>
        <v>67134.97</v>
      </c>
      <c r="M25" s="221">
        <f>L25/$L$115</f>
        <v>0.16099741751729427</v>
      </c>
      <c r="O25" s="236"/>
    </row>
    <row r="26" spans="1:16">
      <c r="A26" s="240"/>
      <c r="B26" s="240"/>
      <c r="C26" s="241" t="s">
        <v>55</v>
      </c>
      <c r="D26" s="240"/>
      <c r="E26" s="242"/>
      <c r="F26" s="242"/>
      <c r="G26" s="243"/>
      <c r="H26" s="242"/>
      <c r="I26" s="242"/>
      <c r="J26" s="243">
        <f>SUM(J24:J25)</f>
        <v>91344</v>
      </c>
      <c r="K26" s="243"/>
      <c r="L26" s="243">
        <f>SUM(L24:L25)</f>
        <v>113922.02</v>
      </c>
      <c r="M26" s="235">
        <f>L26/L115</f>
        <v>0.27319817106276428</v>
      </c>
      <c r="O26" s="237">
        <f>L26</f>
        <v>113922.02</v>
      </c>
    </row>
    <row r="27" spans="1:16" ht="15.75" hidden="1">
      <c r="A27" s="244"/>
      <c r="B27" s="244"/>
      <c r="C27" s="244"/>
      <c r="D27" s="245"/>
      <c r="E27" s="246"/>
      <c r="F27" s="247"/>
      <c r="G27" s="248"/>
      <c r="H27" s="247"/>
      <c r="I27" s="248"/>
      <c r="J27" s="249"/>
      <c r="K27" s="250"/>
      <c r="L27" s="249"/>
      <c r="M27" s="251"/>
    </row>
    <row r="28" spans="1:16" s="236" customFormat="1" ht="19.5" customHeight="1">
      <c r="A28" s="404" t="s">
        <v>58</v>
      </c>
      <c r="B28" s="404"/>
      <c r="C28" s="404"/>
      <c r="D28" s="404"/>
      <c r="E28" s="404"/>
      <c r="F28" s="404"/>
      <c r="G28" s="404"/>
      <c r="H28" s="404"/>
      <c r="I28" s="404"/>
      <c r="J28" s="404"/>
      <c r="K28" s="404"/>
      <c r="L28" s="404"/>
      <c r="M28" s="404"/>
    </row>
    <row r="29" spans="1:16" s="252" customFormat="1" ht="18" customHeight="1">
      <c r="A29" s="424" t="s">
        <v>237</v>
      </c>
      <c r="B29" s="424"/>
      <c r="C29" s="424"/>
      <c r="D29" s="424"/>
      <c r="E29" s="424"/>
      <c r="F29" s="424"/>
      <c r="G29" s="424"/>
      <c r="H29" s="424"/>
      <c r="I29" s="424"/>
      <c r="J29" s="424"/>
      <c r="K29" s="424"/>
      <c r="L29" s="424"/>
      <c r="M29" s="424"/>
    </row>
    <row r="30" spans="1:16" s="236" customFormat="1" ht="27.6" customHeight="1">
      <c r="A30" s="204">
        <v>1</v>
      </c>
      <c r="B30" s="204"/>
      <c r="C30" s="205" t="s">
        <v>42</v>
      </c>
      <c r="D30" s="204"/>
      <c r="E30" s="206"/>
      <c r="F30" s="207"/>
      <c r="G30" s="208"/>
      <c r="H30" s="253"/>
      <c r="I30" s="208"/>
      <c r="J30" s="210"/>
      <c r="K30" s="211"/>
      <c r="L30" s="212"/>
      <c r="M30" s="254"/>
    </row>
    <row r="31" spans="1:16" ht="32.25" customHeight="1">
      <c r="A31" s="255">
        <v>98458</v>
      </c>
      <c r="B31" s="255" t="s">
        <v>56</v>
      </c>
      <c r="C31" s="256" t="s">
        <v>59</v>
      </c>
      <c r="D31" s="255" t="s">
        <v>45</v>
      </c>
      <c r="E31" s="168">
        <f>'MEMORIAL DE CÁLCULOS'!E4</f>
        <v>10.56</v>
      </c>
      <c r="F31" s="257">
        <v>77.41</v>
      </c>
      <c r="G31" s="218">
        <f>F31*E31</f>
        <v>817.44960000000003</v>
      </c>
      <c r="H31" s="257">
        <v>26.79</v>
      </c>
      <c r="I31" s="218">
        <f>H31*E31</f>
        <v>282.9024</v>
      </c>
      <c r="J31" s="258">
        <f>G31+I31</f>
        <v>1100.3520000000001</v>
      </c>
      <c r="K31" s="259">
        <f>CALCULO_BDI_DESONERADO!D$25</f>
        <v>0.24717567842364541</v>
      </c>
      <c r="L31" s="258">
        <f>ROUND(J31*(1+K31),2)</f>
        <v>1372.33</v>
      </c>
      <c r="M31" s="221">
        <f t="shared" ref="M31:M38" si="4">L31/$L$115</f>
        <v>3.2910059538495129E-3</v>
      </c>
      <c r="O31" s="236"/>
    </row>
    <row r="32" spans="1:16" ht="32.25" customHeight="1">
      <c r="A32" s="255">
        <v>97637</v>
      </c>
      <c r="B32" s="255" t="s">
        <v>56</v>
      </c>
      <c r="C32" s="256" t="s">
        <v>60</v>
      </c>
      <c r="D32" s="260" t="s">
        <v>45</v>
      </c>
      <c r="E32" s="168">
        <f>'MEMORIAL DE CÁLCULOS'!E5</f>
        <v>10.56</v>
      </c>
      <c r="F32" s="257">
        <v>0.83</v>
      </c>
      <c r="G32" s="218">
        <f>F32*E32</f>
        <v>8.7647999999999993</v>
      </c>
      <c r="H32" s="257">
        <v>1.96</v>
      </c>
      <c r="I32" s="218">
        <f>H32*E32</f>
        <v>20.697600000000001</v>
      </c>
      <c r="J32" s="219">
        <f>G32+I32</f>
        <v>29.462400000000002</v>
      </c>
      <c r="K32" s="259">
        <f>CALCULO_BDI_DESONERADO!D$25</f>
        <v>0.24717567842364541</v>
      </c>
      <c r="L32" s="219">
        <f>ROUND(J32*(1+K32),2)</f>
        <v>36.74</v>
      </c>
      <c r="M32" s="221">
        <f t="shared" si="4"/>
        <v>8.8106766407810885E-5</v>
      </c>
      <c r="N32" s="222"/>
      <c r="O32" s="236"/>
    </row>
    <row r="33" spans="1:15" s="236" customFormat="1" ht="29.25" customHeight="1">
      <c r="A33" s="261">
        <v>104791</v>
      </c>
      <c r="B33" s="261" t="s">
        <v>56</v>
      </c>
      <c r="C33" s="262" t="s">
        <v>238</v>
      </c>
      <c r="D33" s="261" t="s">
        <v>63</v>
      </c>
      <c r="E33" s="168">
        <f>'MEMORIAL DE CÁLCULOS'!E6</f>
        <v>275.09999999999997</v>
      </c>
      <c r="F33" s="263">
        <v>0</v>
      </c>
      <c r="G33" s="218">
        <f t="shared" ref="G33:G38" si="5">F33*E33</f>
        <v>0</v>
      </c>
      <c r="H33" s="263">
        <v>4.04</v>
      </c>
      <c r="I33" s="218">
        <f t="shared" ref="I33:I38" si="6">H33*E33</f>
        <v>1111.4039999999998</v>
      </c>
      <c r="J33" s="264">
        <f t="shared" ref="J33:J38" si="7">G33+I33</f>
        <v>1111.4039999999998</v>
      </c>
      <c r="K33" s="259">
        <f>CALCULO_BDI_DESONERADO!D$25</f>
        <v>0.24717567842364541</v>
      </c>
      <c r="L33" s="264">
        <f t="shared" ref="L33:L38" si="8">ROUND(J33*(1+K33),2)</f>
        <v>1386.12</v>
      </c>
      <c r="M33" s="221">
        <f t="shared" si="4"/>
        <v>3.3240759676971912E-3</v>
      </c>
      <c r="N33" s="265"/>
      <c r="O33" s="266"/>
    </row>
    <row r="34" spans="1:15" s="236" customFormat="1" ht="29.25" customHeight="1">
      <c r="A34" s="261">
        <v>97634</v>
      </c>
      <c r="B34" s="261" t="s">
        <v>56</v>
      </c>
      <c r="C34" s="262" t="s">
        <v>240</v>
      </c>
      <c r="D34" s="261" t="s">
        <v>63</v>
      </c>
      <c r="E34" s="168">
        <f>'MEMORIAL DE CÁLCULOS'!E7</f>
        <v>275.09999999999997</v>
      </c>
      <c r="F34" s="263">
        <v>1.94</v>
      </c>
      <c r="G34" s="218">
        <f t="shared" si="5"/>
        <v>533.69399999999996</v>
      </c>
      <c r="H34" s="263">
        <v>4.88</v>
      </c>
      <c r="I34" s="218">
        <f t="shared" si="6"/>
        <v>1342.4879999999998</v>
      </c>
      <c r="J34" s="264">
        <f t="shared" si="7"/>
        <v>1876.1819999999998</v>
      </c>
      <c r="K34" s="259">
        <f>CALCULO_BDI_DESONERADO!D$25</f>
        <v>0.24717567842364541</v>
      </c>
      <c r="L34" s="264">
        <f t="shared" si="8"/>
        <v>2339.9299999999998</v>
      </c>
      <c r="M34" s="221">
        <f t="shared" si="4"/>
        <v>5.611422589020928E-3</v>
      </c>
      <c r="N34" s="267"/>
      <c r="O34" s="266"/>
    </row>
    <row r="35" spans="1:15" s="236" customFormat="1" ht="29.25" customHeight="1">
      <c r="A35" s="261">
        <v>20112</v>
      </c>
      <c r="B35" s="261" t="s">
        <v>38</v>
      </c>
      <c r="C35" s="262" t="s">
        <v>262</v>
      </c>
      <c r="D35" s="261" t="s">
        <v>63</v>
      </c>
      <c r="E35" s="168">
        <f>'MEMORIAL DE CÁLCULOS'!E8</f>
        <v>200.94</v>
      </c>
      <c r="F35" s="263">
        <v>0</v>
      </c>
      <c r="G35" s="218">
        <f t="shared" ref="G35" si="9">F35*E35</f>
        <v>0</v>
      </c>
      <c r="H35" s="263">
        <v>14.67</v>
      </c>
      <c r="I35" s="218">
        <f t="shared" ref="I35" si="10">H35*E35</f>
        <v>2947.7898</v>
      </c>
      <c r="J35" s="264">
        <f t="shared" ref="J35" si="11">G35+I35</f>
        <v>2947.7898</v>
      </c>
      <c r="K35" s="259">
        <f>CALCULO_BDI_DESONERADO!D$25</f>
        <v>0.24717567842364541</v>
      </c>
      <c r="L35" s="264">
        <f t="shared" ref="L35" si="12">ROUND(J35*(1+K35),2)</f>
        <v>3676.41</v>
      </c>
      <c r="M35" s="221">
        <f t="shared" si="4"/>
        <v>8.8164560993287972E-3</v>
      </c>
      <c r="N35" s="267"/>
      <c r="O35" s="266"/>
    </row>
    <row r="36" spans="1:15" s="236" customFormat="1" ht="15.75">
      <c r="A36" s="255">
        <v>97644</v>
      </c>
      <c r="B36" s="255" t="s">
        <v>56</v>
      </c>
      <c r="C36" s="256" t="s">
        <v>175</v>
      </c>
      <c r="D36" s="255" t="s">
        <v>63</v>
      </c>
      <c r="E36" s="168">
        <f>'MEMORIAL DE CÁLCULOS'!E9</f>
        <v>77.700000000000017</v>
      </c>
      <c r="F36" s="257">
        <v>2.92</v>
      </c>
      <c r="G36" s="218">
        <f t="shared" si="5"/>
        <v>226.88400000000004</v>
      </c>
      <c r="H36" s="257">
        <v>6.96</v>
      </c>
      <c r="I36" s="218">
        <f t="shared" si="6"/>
        <v>540.79200000000014</v>
      </c>
      <c r="J36" s="258">
        <f t="shared" si="7"/>
        <v>767.67600000000016</v>
      </c>
      <c r="K36" s="259">
        <f>CALCULO_BDI_DESONERADO!D$25</f>
        <v>0.24717567842364541</v>
      </c>
      <c r="L36" s="258">
        <f t="shared" si="8"/>
        <v>957.43</v>
      </c>
      <c r="M36" s="221">
        <f t="shared" si="4"/>
        <v>2.2960277997232E-3</v>
      </c>
      <c r="N36" s="267">
        <v>767.67600000000016</v>
      </c>
      <c r="O36" s="266"/>
    </row>
    <row r="37" spans="1:15" s="236" customFormat="1" ht="17.25" customHeight="1">
      <c r="A37" s="255">
        <v>97645</v>
      </c>
      <c r="B37" s="255" t="s">
        <v>56</v>
      </c>
      <c r="C37" s="256" t="s">
        <v>64</v>
      </c>
      <c r="D37" s="255" t="s">
        <v>63</v>
      </c>
      <c r="E37" s="168">
        <f>'MEMORIAL DE CÁLCULOS'!E10</f>
        <v>46.85</v>
      </c>
      <c r="F37" s="257">
        <v>7.61</v>
      </c>
      <c r="G37" s="218">
        <f t="shared" si="5"/>
        <v>356.52850000000001</v>
      </c>
      <c r="H37" s="257">
        <v>17.91</v>
      </c>
      <c r="I37" s="218">
        <f t="shared" si="6"/>
        <v>839.08350000000007</v>
      </c>
      <c r="J37" s="258">
        <f t="shared" si="7"/>
        <v>1195.6120000000001</v>
      </c>
      <c r="K37" s="259">
        <f>CALCULO_BDI_DESONERADO!D$25</f>
        <v>0.24717567842364541</v>
      </c>
      <c r="L37" s="258">
        <f t="shared" si="8"/>
        <v>1491.14</v>
      </c>
      <c r="M37" s="221">
        <f t="shared" si="4"/>
        <v>3.5759260659048212E-3</v>
      </c>
      <c r="N37" s="222"/>
    </row>
    <row r="38" spans="1:15" s="236" customFormat="1" ht="17.25" customHeight="1">
      <c r="A38" s="255">
        <v>30105</v>
      </c>
      <c r="B38" s="255" t="s">
        <v>38</v>
      </c>
      <c r="C38" s="256" t="s">
        <v>61</v>
      </c>
      <c r="D38" s="255" t="s">
        <v>239</v>
      </c>
      <c r="E38" s="168">
        <f>'MEMORIAL DE CÁLCULOS'!E11</f>
        <v>88.625000000000014</v>
      </c>
      <c r="F38" s="257">
        <v>84.55</v>
      </c>
      <c r="G38" s="218">
        <f t="shared" si="5"/>
        <v>7493.2437500000005</v>
      </c>
      <c r="H38" s="257">
        <v>7.83</v>
      </c>
      <c r="I38" s="218">
        <f t="shared" si="6"/>
        <v>693.93375000000015</v>
      </c>
      <c r="J38" s="258">
        <f t="shared" si="7"/>
        <v>8187.1775000000007</v>
      </c>
      <c r="K38" s="259">
        <f>CALCULO_BDI_DESONERADO!D$25</f>
        <v>0.24717567842364541</v>
      </c>
      <c r="L38" s="258">
        <f t="shared" si="8"/>
        <v>10210.85</v>
      </c>
      <c r="M38" s="221">
        <f t="shared" si="4"/>
        <v>2.4486798469656935E-2</v>
      </c>
      <c r="N38" s="268">
        <v>8187.1775000000007</v>
      </c>
    </row>
    <row r="39" spans="1:15" ht="15.75">
      <c r="A39" s="245"/>
      <c r="B39" s="245"/>
      <c r="C39" s="241" t="s">
        <v>55</v>
      </c>
      <c r="D39" s="245"/>
      <c r="E39" s="246"/>
      <c r="F39" s="247"/>
      <c r="G39" s="248"/>
      <c r="H39" s="247"/>
      <c r="I39" s="246"/>
      <c r="J39" s="249">
        <f>SUM(J31:J38)</f>
        <v>17215.655699999999</v>
      </c>
      <c r="K39" s="269"/>
      <c r="L39" s="249">
        <f>SUM(L31:L38)</f>
        <v>21470.949999999997</v>
      </c>
      <c r="M39" s="235">
        <f>L39/L115</f>
        <v>5.148981971158919E-2</v>
      </c>
      <c r="O39" s="237">
        <f>L39</f>
        <v>21470.949999999997</v>
      </c>
    </row>
    <row r="40" spans="1:15" s="271" customFormat="1" ht="23.1" customHeight="1">
      <c r="A40" s="204">
        <v>3</v>
      </c>
      <c r="B40" s="204"/>
      <c r="C40" s="205" t="s">
        <v>242</v>
      </c>
      <c r="D40" s="204"/>
      <c r="E40" s="238"/>
      <c r="F40" s="207"/>
      <c r="G40" s="207"/>
      <c r="H40" s="209"/>
      <c r="I40" s="209"/>
      <c r="J40" s="210"/>
      <c r="K40" s="210"/>
      <c r="L40" s="210"/>
      <c r="M40" s="239"/>
      <c r="N40" s="222"/>
      <c r="O40" s="270"/>
    </row>
    <row r="41" spans="1:15" ht="29.25" customHeight="1">
      <c r="A41" s="272">
        <v>87273</v>
      </c>
      <c r="B41" s="272" t="s">
        <v>56</v>
      </c>
      <c r="C41" s="273" t="s">
        <v>241</v>
      </c>
      <c r="D41" s="223" t="s">
        <v>63</v>
      </c>
      <c r="E41" s="169">
        <f>'MEMORIAL DE CÁLCULOS'!E13</f>
        <v>343.87499999999994</v>
      </c>
      <c r="F41" s="274">
        <v>39.94</v>
      </c>
      <c r="G41" s="218">
        <f>F41*E41</f>
        <v>13734.367499999997</v>
      </c>
      <c r="H41" s="217">
        <v>20.89</v>
      </c>
      <c r="I41" s="218">
        <f>H41*E41</f>
        <v>7183.548749999999</v>
      </c>
      <c r="J41" s="219">
        <f t="shared" ref="J41:J43" si="13">G41+I41</f>
        <v>20917.916249999995</v>
      </c>
      <c r="K41" s="220">
        <f>CALCULO_BDI_DESONERADO!D$25</f>
        <v>0.24717567842364541</v>
      </c>
      <c r="L41" s="219">
        <f t="shared" ref="L41:L43" si="14">ROUND(J41*(1+K41),2)</f>
        <v>26088.32</v>
      </c>
      <c r="M41" s="221">
        <f t="shared" ref="M41:M48" si="15">L41/$L$115</f>
        <v>6.2562806647039212E-2</v>
      </c>
      <c r="N41" s="275"/>
      <c r="O41" s="270"/>
    </row>
    <row r="42" spans="1:15" ht="29.25" customHeight="1">
      <c r="A42" s="272">
        <v>87263</v>
      </c>
      <c r="B42" s="272" t="s">
        <v>56</v>
      </c>
      <c r="C42" s="273" t="s">
        <v>263</v>
      </c>
      <c r="D42" s="223" t="s">
        <v>63</v>
      </c>
      <c r="E42" s="169">
        <f>'MEMORIAL DE CÁLCULOS'!E14</f>
        <v>301.40999999999997</v>
      </c>
      <c r="F42" s="274">
        <v>112.81</v>
      </c>
      <c r="G42" s="218">
        <f>F42*E42</f>
        <v>34002.062099999996</v>
      </c>
      <c r="H42" s="217">
        <v>14.62</v>
      </c>
      <c r="I42" s="218">
        <f>H42*E42</f>
        <v>4406.6141999999991</v>
      </c>
      <c r="J42" s="219">
        <f t="shared" ref="J42" si="16">G42+I42</f>
        <v>38408.676299999992</v>
      </c>
      <c r="K42" s="220">
        <f>CALCULO_BDI_DESONERADO!D$25</f>
        <v>0.24717567842364541</v>
      </c>
      <c r="L42" s="219">
        <f t="shared" ref="L42" si="17">ROUND(J42*(1+K42),2)</f>
        <v>47902.37</v>
      </c>
      <c r="M42" s="221">
        <f t="shared" si="15"/>
        <v>0.11487541981411345</v>
      </c>
      <c r="N42" s="275"/>
      <c r="O42" s="270"/>
    </row>
    <row r="43" spans="1:15" s="236" customFormat="1" ht="30.75" customHeight="1">
      <c r="A43" s="272">
        <v>103323</v>
      </c>
      <c r="B43" s="272" t="s">
        <v>56</v>
      </c>
      <c r="C43" s="273" t="s">
        <v>243</v>
      </c>
      <c r="D43" s="223" t="s">
        <v>63</v>
      </c>
      <c r="E43" s="169">
        <f>'MEMORIAL DE CÁLCULOS'!E15</f>
        <v>28.125000000000004</v>
      </c>
      <c r="F43" s="274">
        <v>46.04</v>
      </c>
      <c r="G43" s="276">
        <f t="shared" ref="G43:G48" si="18">E43*F43</f>
        <v>1294.8750000000002</v>
      </c>
      <c r="H43" s="217">
        <v>19.48</v>
      </c>
      <c r="I43" s="276">
        <f t="shared" ref="I43:I48" si="19">ROUND(H43*E43,2)</f>
        <v>547.88</v>
      </c>
      <c r="J43" s="258">
        <f t="shared" si="13"/>
        <v>1842.7550000000001</v>
      </c>
      <c r="K43" s="220">
        <f>CALCULO_BDI_DESONERADO!D$25</f>
        <v>0.24717567842364541</v>
      </c>
      <c r="L43" s="258">
        <f t="shared" si="14"/>
        <v>2298.2399999999998</v>
      </c>
      <c r="M43" s="221">
        <f t="shared" si="15"/>
        <v>5.5114451504923046E-3</v>
      </c>
      <c r="N43" s="222"/>
    </row>
    <row r="44" spans="1:15" s="236" customFormat="1" ht="30.75" customHeight="1">
      <c r="A44" s="272">
        <v>200502</v>
      </c>
      <c r="B44" s="272" t="s">
        <v>38</v>
      </c>
      <c r="C44" s="273" t="s">
        <v>244</v>
      </c>
      <c r="D44" s="223" t="s">
        <v>63</v>
      </c>
      <c r="E44" s="169">
        <f>'MEMORIAL DE CÁLCULOS'!E16</f>
        <v>28.125000000000004</v>
      </c>
      <c r="F44" s="274">
        <v>10.53</v>
      </c>
      <c r="G44" s="276">
        <f t="shared" si="18"/>
        <v>296.15625</v>
      </c>
      <c r="H44" s="217">
        <v>16.88</v>
      </c>
      <c r="I44" s="276">
        <f t="shared" si="19"/>
        <v>474.75</v>
      </c>
      <c r="J44" s="258">
        <f t="shared" ref="J44:J48" si="20">G44+I44</f>
        <v>770.90625</v>
      </c>
      <c r="K44" s="220">
        <f>CALCULO_BDI_DESONERADO!D$25</f>
        <v>0.24717567842364541</v>
      </c>
      <c r="L44" s="258">
        <f t="shared" ref="L44:L48" si="21">ROUND(J44*(1+K44),2)</f>
        <v>961.46</v>
      </c>
      <c r="M44" s="221">
        <f t="shared" si="15"/>
        <v>2.3056922055104479E-3</v>
      </c>
      <c r="N44" s="222">
        <v>770.90625</v>
      </c>
    </row>
    <row r="45" spans="1:15" s="236" customFormat="1" ht="30.75" customHeight="1">
      <c r="A45" s="272">
        <v>200505</v>
      </c>
      <c r="B45" s="272" t="s">
        <v>38</v>
      </c>
      <c r="C45" s="273" t="s">
        <v>245</v>
      </c>
      <c r="D45" s="223" t="s">
        <v>63</v>
      </c>
      <c r="E45" s="169">
        <f>'MEMORIAL DE CÁLCULOS'!E17</f>
        <v>28.125000000000004</v>
      </c>
      <c r="F45" s="274">
        <v>46.04</v>
      </c>
      <c r="G45" s="276">
        <f t="shared" si="18"/>
        <v>1294.8750000000002</v>
      </c>
      <c r="H45" s="217">
        <v>19.48</v>
      </c>
      <c r="I45" s="276">
        <f t="shared" si="19"/>
        <v>547.88</v>
      </c>
      <c r="J45" s="258">
        <f t="shared" si="20"/>
        <v>1842.7550000000001</v>
      </c>
      <c r="K45" s="220">
        <f>CALCULO_BDI_DESONERADO!D$25</f>
        <v>0.24717567842364541</v>
      </c>
      <c r="L45" s="258">
        <f t="shared" si="21"/>
        <v>2298.2399999999998</v>
      </c>
      <c r="M45" s="221">
        <f t="shared" si="15"/>
        <v>5.5114451504923046E-3</v>
      </c>
      <c r="N45" s="222">
        <v>1842.7550000000001</v>
      </c>
    </row>
    <row r="46" spans="1:15" s="236" customFormat="1" ht="30.75" customHeight="1">
      <c r="A46" s="272">
        <v>98689</v>
      </c>
      <c r="B46" s="272" t="s">
        <v>56</v>
      </c>
      <c r="C46" s="273" t="s">
        <v>231</v>
      </c>
      <c r="D46" s="223" t="s">
        <v>230</v>
      </c>
      <c r="E46" s="169">
        <f>'MEMORIAL DE CÁLCULOS'!E18</f>
        <v>37</v>
      </c>
      <c r="F46" s="274">
        <v>93.02</v>
      </c>
      <c r="G46" s="276">
        <f t="shared" si="18"/>
        <v>3441.74</v>
      </c>
      <c r="H46" s="217">
        <v>16.43</v>
      </c>
      <c r="I46" s="276">
        <f t="shared" si="19"/>
        <v>607.91</v>
      </c>
      <c r="J46" s="258">
        <f t="shared" ref="J46" si="22">G46+I46</f>
        <v>4049.6499999999996</v>
      </c>
      <c r="K46" s="220">
        <f>CALCULO_BDI_DESONERADO!D$25</f>
        <v>0.24717567842364541</v>
      </c>
      <c r="L46" s="258">
        <f t="shared" ref="L46" si="23">ROUND(J46*(1+K46),2)</f>
        <v>5050.62</v>
      </c>
      <c r="M46" s="221">
        <f t="shared" si="15"/>
        <v>1.2111970510468639E-2</v>
      </c>
      <c r="N46" s="222"/>
    </row>
    <row r="47" spans="1:15" s="236" customFormat="1" ht="30.75" customHeight="1">
      <c r="A47" s="272">
        <v>101965</v>
      </c>
      <c r="B47" s="272" t="s">
        <v>56</v>
      </c>
      <c r="C47" s="273" t="s">
        <v>232</v>
      </c>
      <c r="D47" s="223" t="s">
        <v>230</v>
      </c>
      <c r="E47" s="169">
        <f>'MEMORIAL DE CÁLCULOS'!E19</f>
        <v>26</v>
      </c>
      <c r="F47" s="274">
        <v>139.84</v>
      </c>
      <c r="G47" s="276">
        <f t="shared" si="18"/>
        <v>3635.84</v>
      </c>
      <c r="H47" s="217">
        <v>19.809999999999999</v>
      </c>
      <c r="I47" s="276">
        <f t="shared" si="19"/>
        <v>515.05999999999995</v>
      </c>
      <c r="J47" s="258">
        <f t="shared" ref="J47" si="24">G47+I47</f>
        <v>4150.8999999999996</v>
      </c>
      <c r="K47" s="220">
        <f>CALCULO_BDI_DESONERADO!D$25</f>
        <v>0.24717567842364541</v>
      </c>
      <c r="L47" s="258">
        <f t="shared" ref="L47" si="25">ROUND(J47*(1+K47),2)</f>
        <v>5176.8999999999996</v>
      </c>
      <c r="M47" s="221">
        <f t="shared" si="15"/>
        <v>1.2414804545906264E-2</v>
      </c>
      <c r="N47" s="222"/>
    </row>
    <row r="48" spans="1:15" s="236" customFormat="1" ht="30.75" customHeight="1">
      <c r="A48" s="272">
        <v>240208</v>
      </c>
      <c r="B48" s="272" t="s">
        <v>38</v>
      </c>
      <c r="C48" s="273" t="s">
        <v>246</v>
      </c>
      <c r="D48" s="223" t="s">
        <v>230</v>
      </c>
      <c r="E48" s="169">
        <f>'MEMORIAL DE CÁLCULOS'!E20</f>
        <v>395.8</v>
      </c>
      <c r="F48" s="274">
        <v>27.16</v>
      </c>
      <c r="G48" s="276">
        <f t="shared" si="18"/>
        <v>10749.928</v>
      </c>
      <c r="H48" s="217">
        <v>13.81</v>
      </c>
      <c r="I48" s="276">
        <f t="shared" si="19"/>
        <v>5466</v>
      </c>
      <c r="J48" s="258">
        <f t="shared" si="20"/>
        <v>16215.928</v>
      </c>
      <c r="K48" s="220">
        <f>CALCULO_BDI_DESONERADO!D$25</f>
        <v>0.24717567842364541</v>
      </c>
      <c r="L48" s="258">
        <f t="shared" si="21"/>
        <v>20224.11</v>
      </c>
      <c r="M48" s="221">
        <f t="shared" si="15"/>
        <v>4.8499753281869139E-2</v>
      </c>
      <c r="N48" s="222">
        <v>16215.928</v>
      </c>
    </row>
    <row r="49" spans="1:1025">
      <c r="A49" s="240"/>
      <c r="B49" s="240"/>
      <c r="C49" s="241" t="s">
        <v>55</v>
      </c>
      <c r="D49" s="240"/>
      <c r="E49" s="242"/>
      <c r="F49" s="242"/>
      <c r="G49" s="243"/>
      <c r="H49" s="242"/>
      <c r="I49" s="242"/>
      <c r="J49" s="243">
        <f>SUM(J41:J48)</f>
        <v>88199.48679999997</v>
      </c>
      <c r="K49" s="277"/>
      <c r="L49" s="243">
        <f>SUM(L41:L48)</f>
        <v>110000.26000000001</v>
      </c>
      <c r="M49" s="278">
        <f>L49/L115</f>
        <v>0.26379333730589177</v>
      </c>
      <c r="O49" s="227">
        <f>L49</f>
        <v>110000.26000000001</v>
      </c>
    </row>
    <row r="50" spans="1:1025" ht="15.75">
      <c r="A50" s="204">
        <v>4</v>
      </c>
      <c r="B50" s="204"/>
      <c r="C50" s="205" t="s">
        <v>65</v>
      </c>
      <c r="D50" s="204"/>
      <c r="E50" s="238"/>
      <c r="F50" s="207"/>
      <c r="G50" s="207"/>
      <c r="H50" s="209"/>
      <c r="I50" s="209"/>
      <c r="J50" s="210"/>
      <c r="K50" s="210"/>
      <c r="L50" s="210"/>
      <c r="M50" s="239"/>
      <c r="N50" s="222"/>
    </row>
    <row r="51" spans="1:1025" s="281" customFormat="1" ht="29.25" customHeight="1">
      <c r="A51" s="279" t="s">
        <v>248</v>
      </c>
      <c r="B51" s="214" t="s">
        <v>56</v>
      </c>
      <c r="C51" s="280" t="s">
        <v>247</v>
      </c>
      <c r="D51" s="223" t="s">
        <v>43</v>
      </c>
      <c r="E51" s="169">
        <f>'MEMORIAL DE CÁLCULOS'!E22</f>
        <v>206.22900000000001</v>
      </c>
      <c r="F51" s="274">
        <v>7.36</v>
      </c>
      <c r="G51" s="218">
        <f t="shared" ref="G51:G56" si="26">F51*E51</f>
        <v>1517.8454400000001</v>
      </c>
      <c r="H51" s="217">
        <v>14.02</v>
      </c>
      <c r="I51" s="218">
        <f t="shared" ref="I51:I56" si="27">H51*E51</f>
        <v>2891.3305800000003</v>
      </c>
      <c r="J51" s="219">
        <f t="shared" ref="J51:J56" si="28">G51+I51</f>
        <v>4409.1760200000008</v>
      </c>
      <c r="K51" s="220">
        <f>CALCULO_BDI_DESONERADO!D$25</f>
        <v>0.24717567842364541</v>
      </c>
      <c r="L51" s="219">
        <f t="shared" ref="L51:L56" si="29">ROUND(J51*(1+K51),2)</f>
        <v>5499.02</v>
      </c>
      <c r="M51" s="221">
        <f t="shared" ref="M51:M56" si="30">L51/$L$115</f>
        <v>1.3187285536523687E-2</v>
      </c>
      <c r="N51" s="222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1"/>
      <c r="AE51" s="181"/>
      <c r="AF51" s="181"/>
      <c r="AG51" s="181"/>
      <c r="AH51" s="181"/>
      <c r="AI51" s="181"/>
      <c r="AJ51" s="181"/>
      <c r="AK51" s="181"/>
      <c r="AL51" s="181"/>
      <c r="AM51" s="181"/>
      <c r="AN51" s="181"/>
      <c r="AO51" s="181"/>
      <c r="AP51" s="181"/>
      <c r="AQ51" s="181"/>
      <c r="AR51" s="181"/>
      <c r="AS51" s="181"/>
      <c r="AT51" s="181"/>
      <c r="AU51" s="181"/>
      <c r="AV51" s="181"/>
      <c r="AW51" s="181"/>
      <c r="AX51" s="181"/>
      <c r="AY51" s="181"/>
      <c r="AZ51" s="181"/>
      <c r="BA51" s="181"/>
      <c r="BB51" s="181"/>
      <c r="BC51" s="181"/>
      <c r="BD51" s="181"/>
      <c r="BE51" s="181"/>
      <c r="BF51" s="181"/>
      <c r="BG51" s="181"/>
      <c r="BH51" s="181"/>
      <c r="BI51" s="181"/>
      <c r="BJ51" s="181"/>
      <c r="BK51" s="181"/>
      <c r="BL51" s="181"/>
      <c r="BM51" s="181"/>
      <c r="BN51" s="181"/>
      <c r="BO51" s="181"/>
      <c r="BP51" s="181"/>
      <c r="BQ51" s="181"/>
      <c r="BR51" s="181"/>
      <c r="BS51" s="181"/>
      <c r="BT51" s="181"/>
      <c r="BU51" s="181"/>
      <c r="BV51" s="181"/>
      <c r="BW51" s="181"/>
      <c r="BX51" s="181"/>
      <c r="BY51" s="181"/>
      <c r="BZ51" s="181"/>
      <c r="CA51" s="181"/>
      <c r="CB51" s="181"/>
      <c r="CC51" s="181"/>
      <c r="CD51" s="181"/>
      <c r="CE51" s="181"/>
      <c r="CF51" s="181"/>
      <c r="CG51" s="181"/>
      <c r="CH51" s="181"/>
      <c r="CI51" s="181"/>
      <c r="CJ51" s="181"/>
      <c r="CK51" s="181"/>
      <c r="CL51" s="181"/>
      <c r="CM51" s="181"/>
      <c r="CN51" s="181"/>
      <c r="CO51" s="181"/>
      <c r="CP51" s="181"/>
      <c r="CQ51" s="181"/>
      <c r="CR51" s="181"/>
      <c r="CS51" s="181"/>
      <c r="CT51" s="181"/>
      <c r="CU51" s="181"/>
      <c r="CV51" s="181"/>
      <c r="CW51" s="181"/>
      <c r="CX51" s="181"/>
      <c r="CY51" s="181"/>
      <c r="CZ51" s="181"/>
      <c r="DA51" s="181"/>
      <c r="DB51" s="181"/>
      <c r="DC51" s="181"/>
      <c r="DD51" s="181"/>
      <c r="DE51" s="181"/>
      <c r="DF51" s="181"/>
      <c r="DG51" s="181"/>
      <c r="DH51" s="181"/>
      <c r="DI51" s="181"/>
      <c r="DJ51" s="181"/>
      <c r="DK51" s="181"/>
      <c r="DL51" s="181"/>
      <c r="DM51" s="181"/>
      <c r="DN51" s="181"/>
      <c r="DO51" s="181"/>
      <c r="DP51" s="181"/>
      <c r="DQ51" s="181"/>
      <c r="DR51" s="181"/>
      <c r="DS51" s="181"/>
      <c r="DT51" s="181"/>
      <c r="DU51" s="181"/>
      <c r="DV51" s="181"/>
      <c r="DW51" s="181"/>
      <c r="DX51" s="181"/>
      <c r="DY51" s="181"/>
      <c r="DZ51" s="181"/>
      <c r="EA51" s="181"/>
      <c r="EB51" s="181"/>
      <c r="EC51" s="181"/>
      <c r="ED51" s="181"/>
      <c r="EE51" s="181"/>
      <c r="EF51" s="181"/>
      <c r="EG51" s="181"/>
      <c r="EH51" s="181"/>
      <c r="EI51" s="181"/>
      <c r="EJ51" s="181"/>
      <c r="EK51" s="181"/>
      <c r="EL51" s="181"/>
      <c r="EM51" s="181"/>
      <c r="EN51" s="181"/>
      <c r="EO51" s="181"/>
      <c r="EP51" s="181"/>
      <c r="EQ51" s="181"/>
      <c r="ER51" s="181"/>
      <c r="ES51" s="181"/>
      <c r="ET51" s="181"/>
      <c r="EU51" s="181"/>
      <c r="EV51" s="181"/>
      <c r="EW51" s="181"/>
      <c r="EX51" s="181"/>
      <c r="EY51" s="181"/>
      <c r="EZ51" s="181"/>
      <c r="FA51" s="181"/>
      <c r="FB51" s="181"/>
      <c r="FC51" s="181"/>
      <c r="FD51" s="181"/>
      <c r="FE51" s="181"/>
      <c r="FF51" s="181"/>
      <c r="FG51" s="181"/>
      <c r="FH51" s="181"/>
      <c r="FI51" s="181"/>
      <c r="FJ51" s="181"/>
      <c r="FK51" s="181"/>
      <c r="FL51" s="181"/>
      <c r="FM51" s="181"/>
      <c r="FN51" s="181"/>
      <c r="FO51" s="181"/>
      <c r="FP51" s="181"/>
      <c r="FQ51" s="181"/>
      <c r="FR51" s="181"/>
      <c r="FS51" s="181"/>
      <c r="FT51" s="181"/>
      <c r="FU51" s="181"/>
      <c r="FV51" s="181"/>
      <c r="FW51" s="181"/>
      <c r="FX51" s="181"/>
      <c r="FY51" s="181"/>
      <c r="FZ51" s="181"/>
      <c r="GA51" s="181"/>
      <c r="GB51" s="181"/>
      <c r="GC51" s="181"/>
      <c r="GD51" s="181"/>
      <c r="GE51" s="181"/>
      <c r="GF51" s="181"/>
      <c r="GG51" s="181"/>
      <c r="GH51" s="181"/>
      <c r="GI51" s="181"/>
      <c r="GJ51" s="181"/>
      <c r="GK51" s="181"/>
      <c r="GL51" s="181"/>
      <c r="GM51" s="181"/>
      <c r="GN51" s="181"/>
      <c r="GO51" s="181"/>
      <c r="GP51" s="181"/>
      <c r="GQ51" s="181"/>
      <c r="GR51" s="181"/>
      <c r="GS51" s="181"/>
      <c r="GT51" s="181"/>
      <c r="GU51" s="181"/>
      <c r="GV51" s="181"/>
      <c r="GW51" s="181"/>
      <c r="GX51" s="181"/>
      <c r="GY51" s="181"/>
      <c r="GZ51" s="181"/>
      <c r="HA51" s="181"/>
      <c r="HB51" s="181"/>
      <c r="HC51" s="181"/>
      <c r="HD51" s="181"/>
      <c r="HE51" s="181"/>
      <c r="HF51" s="181"/>
      <c r="HG51" s="181"/>
      <c r="HH51" s="181"/>
      <c r="HI51" s="181"/>
      <c r="HJ51" s="181"/>
      <c r="HK51" s="181"/>
      <c r="HL51" s="181"/>
      <c r="HM51" s="181"/>
      <c r="HN51" s="181"/>
      <c r="HO51" s="181"/>
      <c r="HP51" s="181"/>
      <c r="HQ51" s="181"/>
      <c r="HR51" s="181"/>
      <c r="HS51" s="181"/>
      <c r="HT51" s="181"/>
      <c r="HU51" s="181"/>
      <c r="HV51" s="181"/>
      <c r="HW51" s="181"/>
      <c r="HX51" s="181"/>
      <c r="HY51" s="181"/>
      <c r="HZ51" s="181"/>
      <c r="IA51" s="181"/>
      <c r="IB51" s="181"/>
      <c r="IC51" s="181"/>
      <c r="ID51" s="181"/>
      <c r="IE51" s="181"/>
      <c r="IF51" s="181"/>
      <c r="IG51" s="181"/>
      <c r="IH51" s="181"/>
      <c r="II51" s="181"/>
      <c r="IJ51" s="181"/>
      <c r="IK51" s="181"/>
      <c r="IL51" s="181"/>
      <c r="IM51" s="181"/>
      <c r="IN51" s="181"/>
      <c r="IO51" s="181"/>
      <c r="IP51" s="181"/>
      <c r="IQ51" s="181"/>
      <c r="IR51" s="181"/>
      <c r="IS51" s="181"/>
      <c r="IT51" s="181"/>
      <c r="IU51" s="181"/>
      <c r="IV51" s="181"/>
      <c r="IW51" s="181"/>
      <c r="IX51" s="181"/>
      <c r="IY51" s="181"/>
      <c r="IZ51" s="181"/>
      <c r="JA51" s="181"/>
      <c r="JB51" s="181"/>
      <c r="JC51" s="181"/>
      <c r="JD51" s="181"/>
      <c r="JE51" s="181"/>
      <c r="JF51" s="181"/>
      <c r="JG51" s="181"/>
      <c r="JH51" s="181"/>
      <c r="JI51" s="181"/>
      <c r="JJ51" s="181"/>
      <c r="JK51" s="181"/>
      <c r="JL51" s="181"/>
      <c r="JM51" s="181"/>
      <c r="JN51" s="181"/>
      <c r="JO51" s="181"/>
      <c r="JP51" s="181"/>
      <c r="JQ51" s="181"/>
      <c r="JR51" s="181"/>
      <c r="JS51" s="181"/>
      <c r="JT51" s="181"/>
      <c r="JU51" s="181"/>
      <c r="JV51" s="181"/>
      <c r="JW51" s="181"/>
      <c r="JX51" s="181"/>
      <c r="JY51" s="181"/>
      <c r="JZ51" s="181"/>
      <c r="KA51" s="181"/>
      <c r="KB51" s="181"/>
      <c r="KC51" s="181"/>
      <c r="KD51" s="181"/>
      <c r="KE51" s="181"/>
      <c r="KF51" s="181"/>
      <c r="KG51" s="181"/>
      <c r="KH51" s="181"/>
      <c r="KI51" s="181"/>
      <c r="KJ51" s="181"/>
      <c r="KK51" s="181"/>
      <c r="KL51" s="181"/>
      <c r="KM51" s="181"/>
      <c r="KN51" s="181"/>
      <c r="KO51" s="181"/>
      <c r="KP51" s="181"/>
      <c r="KQ51" s="181"/>
      <c r="KR51" s="181"/>
      <c r="KS51" s="181"/>
      <c r="KT51" s="181"/>
      <c r="KU51" s="181"/>
      <c r="KV51" s="181"/>
      <c r="KW51" s="181"/>
      <c r="KX51" s="181"/>
      <c r="KY51" s="181"/>
      <c r="KZ51" s="181"/>
      <c r="LA51" s="181"/>
      <c r="LB51" s="181"/>
      <c r="LC51" s="181"/>
      <c r="LD51" s="181"/>
      <c r="LE51" s="181"/>
      <c r="LF51" s="181"/>
      <c r="LG51" s="181"/>
      <c r="LH51" s="181"/>
      <c r="LI51" s="181"/>
      <c r="LJ51" s="181"/>
      <c r="LK51" s="181"/>
      <c r="LL51" s="181"/>
      <c r="LM51" s="181"/>
      <c r="LN51" s="181"/>
      <c r="LO51" s="181"/>
      <c r="LP51" s="181"/>
      <c r="LQ51" s="181"/>
      <c r="LR51" s="181"/>
      <c r="LS51" s="181"/>
      <c r="LT51" s="181"/>
      <c r="LU51" s="181"/>
      <c r="LV51" s="181"/>
      <c r="LW51" s="181"/>
      <c r="LX51" s="181"/>
      <c r="LY51" s="181"/>
      <c r="LZ51" s="181"/>
      <c r="MA51" s="181"/>
      <c r="MB51" s="181"/>
      <c r="MC51" s="181"/>
      <c r="MD51" s="181"/>
      <c r="ME51" s="181"/>
      <c r="MF51" s="181"/>
      <c r="MG51" s="181"/>
      <c r="MH51" s="181"/>
      <c r="MI51" s="181"/>
      <c r="MJ51" s="181"/>
      <c r="MK51" s="181"/>
      <c r="ML51" s="181"/>
      <c r="MM51" s="181"/>
      <c r="MN51" s="181"/>
      <c r="MO51" s="181"/>
      <c r="MP51" s="181"/>
      <c r="MQ51" s="181"/>
      <c r="MR51" s="181"/>
      <c r="MS51" s="181"/>
      <c r="MT51" s="181"/>
      <c r="MU51" s="181"/>
      <c r="MV51" s="181"/>
      <c r="MW51" s="181"/>
      <c r="MX51" s="181"/>
      <c r="MY51" s="181"/>
      <c r="MZ51" s="181"/>
      <c r="NA51" s="181"/>
      <c r="NB51" s="181"/>
      <c r="NC51" s="181"/>
      <c r="ND51" s="181"/>
      <c r="NE51" s="181"/>
      <c r="NF51" s="181"/>
      <c r="NG51" s="181"/>
      <c r="NH51" s="181"/>
      <c r="NI51" s="181"/>
      <c r="NJ51" s="181"/>
      <c r="NK51" s="181"/>
      <c r="NL51" s="181"/>
      <c r="NM51" s="181"/>
      <c r="NN51" s="181"/>
      <c r="NO51" s="181"/>
      <c r="NP51" s="181"/>
      <c r="NQ51" s="181"/>
      <c r="NR51" s="181"/>
      <c r="NS51" s="181"/>
      <c r="NT51" s="181"/>
      <c r="NU51" s="181"/>
      <c r="NV51" s="181"/>
      <c r="NW51" s="181"/>
      <c r="NX51" s="181"/>
      <c r="NY51" s="181"/>
      <c r="NZ51" s="181"/>
      <c r="OA51" s="181"/>
      <c r="OB51" s="181"/>
      <c r="OC51" s="181"/>
      <c r="OD51" s="181"/>
      <c r="OE51" s="181"/>
      <c r="OF51" s="181"/>
      <c r="OG51" s="181"/>
      <c r="OH51" s="181"/>
      <c r="OI51" s="181"/>
      <c r="OJ51" s="181"/>
      <c r="OK51" s="181"/>
      <c r="OL51" s="181"/>
      <c r="OM51" s="181"/>
      <c r="ON51" s="181"/>
      <c r="OO51" s="181"/>
      <c r="OP51" s="181"/>
      <c r="OQ51" s="181"/>
      <c r="OR51" s="181"/>
      <c r="OS51" s="181"/>
      <c r="OT51" s="181"/>
      <c r="OU51" s="181"/>
      <c r="OV51" s="181"/>
      <c r="OW51" s="181"/>
      <c r="OX51" s="181"/>
      <c r="OY51" s="181"/>
      <c r="OZ51" s="181"/>
      <c r="PA51" s="181"/>
      <c r="PB51" s="181"/>
      <c r="PC51" s="181"/>
      <c r="PD51" s="181"/>
      <c r="PE51" s="181"/>
      <c r="PF51" s="181"/>
      <c r="PG51" s="181"/>
      <c r="PH51" s="181"/>
      <c r="PI51" s="181"/>
      <c r="PJ51" s="181"/>
      <c r="PK51" s="181"/>
      <c r="PL51" s="181"/>
      <c r="PM51" s="181"/>
      <c r="PN51" s="181"/>
      <c r="PO51" s="181"/>
      <c r="PP51" s="181"/>
      <c r="PQ51" s="181"/>
      <c r="PR51" s="181"/>
      <c r="PS51" s="181"/>
      <c r="PT51" s="181"/>
      <c r="PU51" s="181"/>
      <c r="PV51" s="181"/>
      <c r="PW51" s="181"/>
      <c r="PX51" s="181"/>
      <c r="PY51" s="181"/>
      <c r="PZ51" s="181"/>
      <c r="QA51" s="181"/>
      <c r="QB51" s="181"/>
      <c r="QC51" s="181"/>
      <c r="QD51" s="181"/>
      <c r="QE51" s="181"/>
      <c r="QF51" s="181"/>
      <c r="QG51" s="181"/>
      <c r="QH51" s="181"/>
      <c r="QI51" s="181"/>
      <c r="QJ51" s="181"/>
      <c r="QK51" s="181"/>
      <c r="QL51" s="181"/>
      <c r="QM51" s="181"/>
      <c r="QN51" s="181"/>
      <c r="QO51" s="181"/>
      <c r="QP51" s="181"/>
      <c r="QQ51" s="181"/>
      <c r="QR51" s="181"/>
      <c r="QS51" s="181"/>
      <c r="QT51" s="181"/>
      <c r="QU51" s="181"/>
      <c r="QV51" s="181"/>
      <c r="QW51" s="181"/>
      <c r="QX51" s="181"/>
      <c r="QY51" s="181"/>
      <c r="QZ51" s="181"/>
      <c r="RA51" s="181"/>
      <c r="RB51" s="181"/>
      <c r="RC51" s="181"/>
      <c r="RD51" s="181"/>
      <c r="RE51" s="181"/>
      <c r="RF51" s="181"/>
      <c r="RG51" s="181"/>
      <c r="RH51" s="181"/>
      <c r="RI51" s="181"/>
      <c r="RJ51" s="181"/>
      <c r="RK51" s="181"/>
      <c r="RL51" s="181"/>
      <c r="RM51" s="181"/>
      <c r="RN51" s="181"/>
      <c r="RO51" s="181"/>
      <c r="RP51" s="181"/>
      <c r="RQ51" s="181"/>
      <c r="RR51" s="181"/>
      <c r="RS51" s="181"/>
      <c r="RT51" s="181"/>
      <c r="RU51" s="181"/>
      <c r="RV51" s="181"/>
      <c r="RW51" s="181"/>
      <c r="RX51" s="181"/>
      <c r="RY51" s="181"/>
      <c r="RZ51" s="181"/>
      <c r="SA51" s="181"/>
      <c r="SB51" s="181"/>
      <c r="SC51" s="181"/>
      <c r="SD51" s="181"/>
      <c r="SE51" s="181"/>
      <c r="SF51" s="181"/>
      <c r="SG51" s="181"/>
      <c r="SH51" s="181"/>
      <c r="SI51" s="181"/>
      <c r="SJ51" s="181"/>
      <c r="SK51" s="181"/>
      <c r="SL51" s="181"/>
      <c r="SM51" s="181"/>
      <c r="SN51" s="181"/>
      <c r="SO51" s="181"/>
      <c r="SP51" s="181"/>
      <c r="SQ51" s="181"/>
      <c r="SR51" s="181"/>
      <c r="SS51" s="181"/>
      <c r="ST51" s="181"/>
      <c r="SU51" s="181"/>
      <c r="SV51" s="181"/>
      <c r="SW51" s="181"/>
      <c r="SX51" s="181"/>
      <c r="SY51" s="181"/>
      <c r="SZ51" s="181"/>
      <c r="TA51" s="181"/>
      <c r="TB51" s="181"/>
      <c r="TC51" s="181"/>
      <c r="TD51" s="181"/>
      <c r="TE51" s="181"/>
      <c r="TF51" s="181"/>
      <c r="TG51" s="181"/>
      <c r="TH51" s="181"/>
      <c r="TI51" s="181"/>
      <c r="TJ51" s="181"/>
      <c r="TK51" s="181"/>
      <c r="TL51" s="181"/>
      <c r="TM51" s="181"/>
      <c r="TN51" s="181"/>
      <c r="TO51" s="181"/>
      <c r="TP51" s="181"/>
      <c r="TQ51" s="181"/>
      <c r="TR51" s="181"/>
      <c r="TS51" s="181"/>
      <c r="TT51" s="181"/>
      <c r="TU51" s="181"/>
      <c r="TV51" s="181"/>
      <c r="TW51" s="181"/>
      <c r="TX51" s="181"/>
      <c r="TY51" s="181"/>
      <c r="TZ51" s="181"/>
      <c r="UA51" s="181"/>
      <c r="UB51" s="181"/>
      <c r="UC51" s="181"/>
      <c r="UD51" s="181"/>
      <c r="UE51" s="181"/>
      <c r="UF51" s="181"/>
      <c r="UG51" s="181"/>
      <c r="UH51" s="181"/>
      <c r="UI51" s="181"/>
      <c r="UJ51" s="181"/>
      <c r="UK51" s="181"/>
      <c r="UL51" s="181"/>
      <c r="UM51" s="181"/>
      <c r="UN51" s="181"/>
      <c r="UO51" s="181"/>
      <c r="UP51" s="181"/>
      <c r="UQ51" s="181"/>
      <c r="UR51" s="181"/>
      <c r="US51" s="181"/>
      <c r="UT51" s="181"/>
      <c r="UU51" s="181"/>
      <c r="UV51" s="181"/>
      <c r="UW51" s="181"/>
      <c r="UX51" s="181"/>
      <c r="UY51" s="181"/>
      <c r="UZ51" s="181"/>
      <c r="VA51" s="181"/>
      <c r="VB51" s="181"/>
      <c r="VC51" s="181"/>
      <c r="VD51" s="181"/>
      <c r="VE51" s="181"/>
      <c r="VF51" s="181"/>
      <c r="VG51" s="181"/>
      <c r="VH51" s="181"/>
      <c r="VI51" s="181"/>
      <c r="VJ51" s="181"/>
      <c r="VK51" s="181"/>
      <c r="VL51" s="181"/>
      <c r="VM51" s="181"/>
      <c r="VN51" s="181"/>
      <c r="VO51" s="181"/>
      <c r="VP51" s="181"/>
      <c r="VQ51" s="181"/>
      <c r="VR51" s="181"/>
      <c r="VS51" s="181"/>
      <c r="VT51" s="181"/>
      <c r="VU51" s="181"/>
      <c r="VV51" s="181"/>
      <c r="VW51" s="181"/>
      <c r="VX51" s="181"/>
      <c r="VY51" s="181"/>
      <c r="VZ51" s="181"/>
      <c r="WA51" s="181"/>
      <c r="WB51" s="181"/>
      <c r="WC51" s="181"/>
      <c r="WD51" s="181"/>
      <c r="WE51" s="181"/>
      <c r="WF51" s="181"/>
      <c r="WG51" s="181"/>
      <c r="WH51" s="181"/>
      <c r="WI51" s="181"/>
      <c r="WJ51" s="181"/>
      <c r="WK51" s="181"/>
      <c r="WL51" s="181"/>
      <c r="WM51" s="181"/>
      <c r="WN51" s="181"/>
      <c r="WO51" s="181"/>
      <c r="WP51" s="181"/>
      <c r="WQ51" s="181"/>
      <c r="WR51" s="181"/>
      <c r="WS51" s="181"/>
      <c r="WT51" s="181"/>
      <c r="WU51" s="181"/>
      <c r="WV51" s="181"/>
      <c r="WW51" s="181"/>
      <c r="WX51" s="181"/>
      <c r="WY51" s="181"/>
      <c r="WZ51" s="181"/>
      <c r="XA51" s="181"/>
      <c r="XB51" s="181"/>
      <c r="XC51" s="181"/>
      <c r="XD51" s="181"/>
      <c r="XE51" s="181"/>
      <c r="XF51" s="181"/>
      <c r="XG51" s="181"/>
      <c r="XH51" s="181"/>
      <c r="XI51" s="181"/>
      <c r="XJ51" s="181"/>
      <c r="XK51" s="181"/>
      <c r="XL51" s="181"/>
      <c r="XM51" s="181"/>
      <c r="XN51" s="181"/>
      <c r="XO51" s="181"/>
      <c r="XP51" s="181"/>
      <c r="XQ51" s="181"/>
      <c r="XR51" s="181"/>
      <c r="XS51" s="181"/>
      <c r="XT51" s="181"/>
      <c r="XU51" s="181"/>
      <c r="XV51" s="181"/>
      <c r="XW51" s="181"/>
      <c r="XX51" s="181"/>
      <c r="XY51" s="181"/>
      <c r="XZ51" s="181"/>
      <c r="YA51" s="181"/>
      <c r="YB51" s="181"/>
      <c r="YC51" s="181"/>
      <c r="YD51" s="181"/>
      <c r="YE51" s="181"/>
      <c r="YF51" s="181"/>
      <c r="YG51" s="181"/>
      <c r="YH51" s="181"/>
      <c r="YI51" s="181"/>
      <c r="YJ51" s="181"/>
      <c r="YK51" s="181"/>
      <c r="YL51" s="181"/>
      <c r="YM51" s="181"/>
      <c r="YN51" s="181"/>
      <c r="YO51" s="181"/>
      <c r="YP51" s="181"/>
      <c r="YQ51" s="181"/>
      <c r="YR51" s="181"/>
      <c r="YS51" s="181"/>
      <c r="YT51" s="181"/>
      <c r="YU51" s="181"/>
      <c r="YV51" s="181"/>
      <c r="YW51" s="181"/>
      <c r="YX51" s="181"/>
      <c r="YY51" s="181"/>
      <c r="YZ51" s="181"/>
      <c r="ZA51" s="181"/>
      <c r="ZB51" s="181"/>
      <c r="ZC51" s="181"/>
      <c r="ZD51" s="181"/>
      <c r="ZE51" s="181"/>
      <c r="ZF51" s="181"/>
      <c r="ZG51" s="181"/>
      <c r="ZH51" s="181"/>
      <c r="ZI51" s="181"/>
      <c r="ZJ51" s="181"/>
      <c r="ZK51" s="181"/>
      <c r="ZL51" s="181"/>
      <c r="ZM51" s="181"/>
      <c r="ZN51" s="181"/>
      <c r="ZO51" s="181"/>
      <c r="ZP51" s="181"/>
      <c r="ZQ51" s="181"/>
      <c r="ZR51" s="181"/>
      <c r="ZS51" s="181"/>
      <c r="ZT51" s="181"/>
      <c r="ZU51" s="181"/>
      <c r="ZV51" s="181"/>
      <c r="ZW51" s="181"/>
      <c r="ZX51" s="181"/>
      <c r="ZY51" s="181"/>
      <c r="ZZ51" s="181"/>
      <c r="AAA51" s="181"/>
      <c r="AAB51" s="181"/>
      <c r="AAC51" s="181"/>
      <c r="AAD51" s="181"/>
      <c r="AAE51" s="181"/>
      <c r="AAF51" s="181"/>
      <c r="AAG51" s="181"/>
      <c r="AAH51" s="181"/>
      <c r="AAI51" s="181"/>
      <c r="AAJ51" s="181"/>
      <c r="AAK51" s="181"/>
      <c r="AAL51" s="181"/>
      <c r="AAM51" s="181"/>
      <c r="AAN51" s="181"/>
      <c r="AAO51" s="181"/>
      <c r="AAP51" s="181"/>
      <c r="AAQ51" s="181"/>
      <c r="AAR51" s="181"/>
      <c r="AAS51" s="181"/>
      <c r="AAT51" s="181"/>
      <c r="AAU51" s="181"/>
      <c r="AAV51" s="181"/>
      <c r="AAW51" s="181"/>
      <c r="AAX51" s="181"/>
      <c r="AAY51" s="181"/>
      <c r="AAZ51" s="181"/>
      <c r="ABA51" s="181"/>
      <c r="ABB51" s="181"/>
      <c r="ABC51" s="181"/>
      <c r="ABD51" s="181"/>
      <c r="ABE51" s="181"/>
      <c r="ABF51" s="181"/>
      <c r="ABG51" s="181"/>
      <c r="ABH51" s="181"/>
      <c r="ABI51" s="181"/>
      <c r="ABJ51" s="181"/>
      <c r="ABK51" s="181"/>
      <c r="ABL51" s="181"/>
      <c r="ABM51" s="181"/>
      <c r="ABN51" s="181"/>
      <c r="ABO51" s="181"/>
      <c r="ABP51" s="181"/>
      <c r="ABQ51" s="181"/>
      <c r="ABR51" s="181"/>
      <c r="ABS51" s="181"/>
      <c r="ABT51" s="181"/>
      <c r="ABU51" s="181"/>
      <c r="ABV51" s="181"/>
      <c r="ABW51" s="181"/>
      <c r="ABX51" s="181"/>
      <c r="ABY51" s="181"/>
      <c r="ABZ51" s="181"/>
      <c r="ACA51" s="181"/>
      <c r="ACB51" s="181"/>
      <c r="ACC51" s="181"/>
      <c r="ACD51" s="181"/>
      <c r="ACE51" s="181"/>
      <c r="ACF51" s="181"/>
      <c r="ACG51" s="181"/>
      <c r="ACH51" s="181"/>
      <c r="ACI51" s="181"/>
      <c r="ACJ51" s="181"/>
      <c r="ACK51" s="181"/>
      <c r="ACL51" s="181"/>
      <c r="ACM51" s="181"/>
      <c r="ACN51" s="181"/>
      <c r="ACO51" s="181"/>
      <c r="ACP51" s="181"/>
      <c r="ACQ51" s="181"/>
      <c r="ACR51" s="181"/>
      <c r="ACS51" s="181"/>
      <c r="ACT51" s="181"/>
      <c r="ACU51" s="181"/>
      <c r="ACV51" s="181"/>
      <c r="ACW51" s="181"/>
      <c r="ACX51" s="181"/>
      <c r="ACY51" s="181"/>
      <c r="ACZ51" s="181"/>
      <c r="ADA51" s="181"/>
      <c r="ADB51" s="181"/>
      <c r="ADC51" s="181"/>
      <c r="ADD51" s="181"/>
      <c r="ADE51" s="181"/>
      <c r="ADF51" s="181"/>
      <c r="ADG51" s="181"/>
      <c r="ADH51" s="181"/>
      <c r="ADI51" s="181"/>
      <c r="ADJ51" s="181"/>
      <c r="ADK51" s="181"/>
      <c r="ADL51" s="181"/>
      <c r="ADM51" s="181"/>
      <c r="ADN51" s="181"/>
      <c r="ADO51" s="181"/>
      <c r="ADP51" s="181"/>
      <c r="ADQ51" s="181"/>
      <c r="ADR51" s="181"/>
      <c r="ADS51" s="181"/>
      <c r="ADT51" s="181"/>
      <c r="ADU51" s="181"/>
      <c r="ADV51" s="181"/>
      <c r="ADW51" s="181"/>
      <c r="ADX51" s="181"/>
      <c r="ADY51" s="181"/>
      <c r="ADZ51" s="181"/>
      <c r="AEA51" s="181"/>
      <c r="AEB51" s="181"/>
      <c r="AEC51" s="181"/>
      <c r="AED51" s="181"/>
      <c r="AEE51" s="181"/>
      <c r="AEF51" s="181"/>
      <c r="AEG51" s="181"/>
      <c r="AEH51" s="181"/>
      <c r="AEI51" s="181"/>
      <c r="AEJ51" s="181"/>
      <c r="AEK51" s="181"/>
      <c r="AEL51" s="181"/>
      <c r="AEM51" s="181"/>
      <c r="AEN51" s="181"/>
      <c r="AEO51" s="181"/>
      <c r="AEP51" s="181"/>
      <c r="AEQ51" s="181"/>
      <c r="AER51" s="181"/>
      <c r="AES51" s="181"/>
      <c r="AET51" s="181"/>
      <c r="AEU51" s="181"/>
      <c r="AEV51" s="181"/>
      <c r="AEW51" s="181"/>
      <c r="AEX51" s="181"/>
      <c r="AEY51" s="181"/>
      <c r="AEZ51" s="181"/>
      <c r="AFA51" s="181"/>
      <c r="AFB51" s="181"/>
      <c r="AFC51" s="181"/>
      <c r="AFD51" s="181"/>
      <c r="AFE51" s="181"/>
      <c r="AFF51" s="181"/>
      <c r="AFG51" s="181"/>
      <c r="AFH51" s="181"/>
      <c r="AFI51" s="181"/>
      <c r="AFJ51" s="181"/>
      <c r="AFK51" s="181"/>
      <c r="AFL51" s="181"/>
      <c r="AFM51" s="181"/>
      <c r="AFN51" s="181"/>
      <c r="AFO51" s="181"/>
      <c r="AFP51" s="181"/>
      <c r="AFQ51" s="181"/>
      <c r="AFR51" s="181"/>
      <c r="AFS51" s="181"/>
      <c r="AFT51" s="181"/>
      <c r="AFU51" s="181"/>
      <c r="AFV51" s="181"/>
      <c r="AFW51" s="181"/>
      <c r="AFX51" s="181"/>
      <c r="AFY51" s="181"/>
      <c r="AFZ51" s="181"/>
      <c r="AGA51" s="181"/>
      <c r="AGB51" s="181"/>
      <c r="AGC51" s="181"/>
      <c r="AGD51" s="181"/>
      <c r="AGE51" s="181"/>
      <c r="AGF51" s="181"/>
      <c r="AGG51" s="181"/>
      <c r="AGH51" s="181"/>
      <c r="AGI51" s="181"/>
      <c r="AGJ51" s="181"/>
      <c r="AGK51" s="181"/>
      <c r="AGL51" s="181"/>
      <c r="AGM51" s="181"/>
      <c r="AGN51" s="181"/>
      <c r="AGO51" s="181"/>
      <c r="AGP51" s="181"/>
      <c r="AGQ51" s="181"/>
      <c r="AGR51" s="181"/>
      <c r="AGS51" s="181"/>
      <c r="AGT51" s="181"/>
      <c r="AGU51" s="181"/>
      <c r="AGV51" s="181"/>
      <c r="AGW51" s="181"/>
      <c r="AGX51" s="181"/>
      <c r="AGY51" s="181"/>
      <c r="AGZ51" s="181"/>
      <c r="AHA51" s="181"/>
      <c r="AHB51" s="181"/>
      <c r="AHC51" s="181"/>
      <c r="AHD51" s="181"/>
      <c r="AHE51" s="181"/>
      <c r="AHF51" s="181"/>
      <c r="AHG51" s="181"/>
      <c r="AHH51" s="181"/>
      <c r="AHI51" s="181"/>
      <c r="AHJ51" s="181"/>
      <c r="AHK51" s="181"/>
      <c r="AHL51" s="181"/>
      <c r="AHM51" s="181"/>
      <c r="AHN51" s="181"/>
      <c r="AHO51" s="181"/>
      <c r="AHP51" s="181"/>
      <c r="AHQ51" s="181"/>
      <c r="AHR51" s="181"/>
      <c r="AHS51" s="181"/>
      <c r="AHT51" s="181"/>
      <c r="AHU51" s="181"/>
      <c r="AHV51" s="181"/>
      <c r="AHW51" s="181"/>
      <c r="AHX51" s="181"/>
      <c r="AHY51" s="181"/>
      <c r="AHZ51" s="181"/>
      <c r="AIA51" s="181"/>
      <c r="AIB51" s="181"/>
      <c r="AIC51" s="181"/>
      <c r="AID51" s="181"/>
      <c r="AIE51" s="181"/>
      <c r="AIF51" s="181"/>
      <c r="AIG51" s="181"/>
      <c r="AIH51" s="181"/>
      <c r="AII51" s="181"/>
      <c r="AIJ51" s="181"/>
      <c r="AIK51" s="181"/>
      <c r="AIL51" s="181"/>
      <c r="AIM51" s="181"/>
      <c r="AIN51" s="181"/>
      <c r="AIO51" s="181"/>
      <c r="AIP51" s="181"/>
      <c r="AIQ51" s="181"/>
      <c r="AIR51" s="181"/>
      <c r="AIS51" s="181"/>
      <c r="AIT51" s="181"/>
      <c r="AIU51" s="181"/>
      <c r="AIV51" s="181"/>
      <c r="AIW51" s="181"/>
      <c r="AIX51" s="181"/>
      <c r="AIY51" s="181"/>
      <c r="AIZ51" s="181"/>
      <c r="AJA51" s="181"/>
      <c r="AJB51" s="181"/>
      <c r="AJC51" s="181"/>
      <c r="AJD51" s="181"/>
      <c r="AJE51" s="181"/>
      <c r="AJF51" s="181"/>
      <c r="AJG51" s="181"/>
      <c r="AJH51" s="181"/>
      <c r="AJI51" s="181"/>
      <c r="AJJ51" s="181"/>
      <c r="AJK51" s="181"/>
      <c r="AJL51" s="181"/>
      <c r="AJM51" s="181"/>
      <c r="AJN51" s="181"/>
      <c r="AJO51" s="181"/>
      <c r="AJP51" s="181"/>
      <c r="AJQ51" s="181"/>
      <c r="AJR51" s="181"/>
      <c r="AJS51" s="181"/>
      <c r="AJT51" s="181"/>
      <c r="AJU51" s="181"/>
      <c r="AJV51" s="181"/>
      <c r="AJW51" s="181"/>
      <c r="AJX51" s="181"/>
      <c r="AJY51" s="181"/>
      <c r="AJZ51" s="181"/>
      <c r="AKA51" s="181"/>
      <c r="AKB51" s="181"/>
      <c r="AKC51" s="181"/>
      <c r="AKD51" s="181"/>
      <c r="AKE51" s="181"/>
      <c r="AKF51" s="181"/>
      <c r="AKG51" s="181"/>
      <c r="AKH51" s="181"/>
      <c r="AKI51" s="181"/>
      <c r="AKJ51" s="181"/>
      <c r="AKK51" s="181"/>
      <c r="AKL51" s="181"/>
      <c r="AKM51" s="181"/>
      <c r="AKN51" s="181"/>
      <c r="AKO51" s="181"/>
      <c r="AKP51" s="181"/>
      <c r="AKQ51" s="181"/>
      <c r="AKR51" s="181"/>
      <c r="AKS51" s="181"/>
      <c r="AKT51" s="181"/>
      <c r="AKU51" s="181"/>
      <c r="AKV51" s="181"/>
      <c r="AKW51" s="181"/>
      <c r="AKX51" s="181"/>
      <c r="AKY51" s="181"/>
      <c r="AKZ51" s="181"/>
      <c r="ALA51" s="181"/>
      <c r="ALB51" s="181"/>
      <c r="ALC51" s="181"/>
      <c r="ALD51" s="181"/>
      <c r="ALE51" s="181"/>
      <c r="ALF51" s="181"/>
      <c r="ALG51" s="181"/>
      <c r="ALH51" s="181"/>
      <c r="ALI51" s="181"/>
      <c r="ALJ51" s="181"/>
      <c r="ALK51" s="181"/>
      <c r="ALL51" s="181"/>
      <c r="ALM51" s="181"/>
      <c r="ALN51" s="181"/>
      <c r="ALO51" s="181"/>
      <c r="ALP51" s="181"/>
      <c r="ALQ51" s="181"/>
      <c r="ALR51" s="181"/>
      <c r="ALS51" s="181"/>
      <c r="ALT51" s="181"/>
      <c r="ALU51" s="181"/>
      <c r="ALV51" s="181"/>
      <c r="ALW51" s="181"/>
      <c r="ALX51" s="181"/>
      <c r="ALY51" s="181"/>
      <c r="ALZ51" s="181"/>
      <c r="AMA51" s="181"/>
      <c r="AMB51" s="181"/>
      <c r="AMC51" s="181"/>
      <c r="AMD51" s="181"/>
      <c r="AME51" s="181"/>
      <c r="AMF51" s="181"/>
      <c r="AMG51" s="181"/>
      <c r="AMH51" s="181"/>
      <c r="AMI51" s="181"/>
      <c r="AMJ51" s="181"/>
      <c r="AMK51" s="181"/>
    </row>
    <row r="52" spans="1:1025" ht="28.5" customHeight="1">
      <c r="A52" s="282" t="s">
        <v>250</v>
      </c>
      <c r="B52" s="214" t="s">
        <v>56</v>
      </c>
      <c r="C52" s="283" t="s">
        <v>249</v>
      </c>
      <c r="D52" s="223" t="s">
        <v>43</v>
      </c>
      <c r="E52" s="169">
        <f>'MEMORIAL DE CÁLCULOS'!E23</f>
        <v>418.32840000000004</v>
      </c>
      <c r="F52" s="284">
        <v>4.45</v>
      </c>
      <c r="G52" s="218">
        <f t="shared" si="26"/>
        <v>1861.5613800000003</v>
      </c>
      <c r="H52" s="217">
        <v>6.84</v>
      </c>
      <c r="I52" s="218">
        <f t="shared" si="27"/>
        <v>2861.3662560000002</v>
      </c>
      <c r="J52" s="219">
        <f t="shared" si="28"/>
        <v>4722.9276360000003</v>
      </c>
      <c r="K52" s="220">
        <f>CALCULO_BDI_DESONERADO!D$25</f>
        <v>0.24717567842364541</v>
      </c>
      <c r="L52" s="219">
        <f t="shared" si="29"/>
        <v>5890.32</v>
      </c>
      <c r="M52" s="221">
        <f t="shared" si="30"/>
        <v>1.4125668162962889E-2</v>
      </c>
      <c r="N52" s="222"/>
    </row>
    <row r="53" spans="1:1025" ht="21.75" customHeight="1">
      <c r="A53" s="282" t="s">
        <v>252</v>
      </c>
      <c r="B53" s="214" t="s">
        <v>56</v>
      </c>
      <c r="C53" s="283" t="s">
        <v>251</v>
      </c>
      <c r="D53" s="223" t="s">
        <v>43</v>
      </c>
      <c r="E53" s="169">
        <f>'MEMORIAL DE CÁLCULOS'!E24</f>
        <v>28.125000000000004</v>
      </c>
      <c r="F53" s="284">
        <v>2.58</v>
      </c>
      <c r="G53" s="218">
        <f t="shared" si="26"/>
        <v>72.562500000000014</v>
      </c>
      <c r="H53" s="217">
        <v>1.85</v>
      </c>
      <c r="I53" s="218">
        <f t="shared" si="27"/>
        <v>52.031250000000007</v>
      </c>
      <c r="J53" s="219">
        <f t="shared" si="28"/>
        <v>124.59375000000003</v>
      </c>
      <c r="K53" s="220">
        <f>CALCULO_BDI_DESONERADO!D$25</f>
        <v>0.24717567842364541</v>
      </c>
      <c r="L53" s="219">
        <f t="shared" si="29"/>
        <v>155.38999999999999</v>
      </c>
      <c r="M53" s="221">
        <f t="shared" si="30"/>
        <v>3.7264317997032475E-4</v>
      </c>
      <c r="N53" s="222"/>
    </row>
    <row r="54" spans="1:1025" ht="30" customHeight="1">
      <c r="A54" s="255">
        <v>88431</v>
      </c>
      <c r="B54" s="285" t="s">
        <v>38</v>
      </c>
      <c r="C54" s="280" t="s">
        <v>253</v>
      </c>
      <c r="D54" s="255" t="s">
        <v>43</v>
      </c>
      <c r="E54" s="169">
        <f>'MEMORIAL DE CÁLCULOS'!E25</f>
        <v>28.125000000000004</v>
      </c>
      <c r="F54" s="257">
        <v>18.309999999999999</v>
      </c>
      <c r="G54" s="218">
        <f t="shared" si="26"/>
        <v>514.96875</v>
      </c>
      <c r="H54" s="257">
        <v>6.85</v>
      </c>
      <c r="I54" s="218">
        <f t="shared" si="27"/>
        <v>192.65625000000003</v>
      </c>
      <c r="J54" s="219">
        <f t="shared" si="28"/>
        <v>707.625</v>
      </c>
      <c r="K54" s="220">
        <f>CALCULO_BDI_DESONERADO!D$25</f>
        <v>0.24717567842364541</v>
      </c>
      <c r="L54" s="219">
        <f t="shared" si="29"/>
        <v>882.53</v>
      </c>
      <c r="M54" s="221">
        <f t="shared" si="30"/>
        <v>2.116408942784032E-3</v>
      </c>
      <c r="N54" s="222">
        <v>707.625</v>
      </c>
    </row>
    <row r="55" spans="1:1025" ht="21.75" customHeight="1">
      <c r="A55" s="255">
        <v>88489</v>
      </c>
      <c r="B55" s="285" t="s">
        <v>56</v>
      </c>
      <c r="C55" s="280" t="s">
        <v>254</v>
      </c>
      <c r="D55" s="255" t="s">
        <v>43</v>
      </c>
      <c r="E55" s="169">
        <f>'MEMORIAL DE CÁLCULOS'!E26</f>
        <v>1394.4280000000001</v>
      </c>
      <c r="F55" s="257">
        <v>8.43</v>
      </c>
      <c r="G55" s="218">
        <f t="shared" si="26"/>
        <v>11755.028040000001</v>
      </c>
      <c r="H55" s="257">
        <v>4.5</v>
      </c>
      <c r="I55" s="218">
        <f t="shared" si="27"/>
        <v>6274.9260000000004</v>
      </c>
      <c r="J55" s="219">
        <f t="shared" si="28"/>
        <v>18029.954040000001</v>
      </c>
      <c r="K55" s="220">
        <f>CALCULO_BDI_DESONERADO!D$25</f>
        <v>0.24717567842364541</v>
      </c>
      <c r="L55" s="219">
        <f t="shared" si="29"/>
        <v>22486.52</v>
      </c>
      <c r="M55" s="221">
        <f t="shared" si="30"/>
        <v>5.3925273951131399E-2</v>
      </c>
      <c r="N55" s="222"/>
    </row>
    <row r="56" spans="1:1025" ht="21.75" customHeight="1">
      <c r="A56" s="255">
        <v>88488</v>
      </c>
      <c r="B56" s="285" t="s">
        <v>56</v>
      </c>
      <c r="C56" s="280" t="s">
        <v>255</v>
      </c>
      <c r="D56" s="255" t="s">
        <v>43</v>
      </c>
      <c r="E56" s="169">
        <f>'MEMORIAL DE CÁLCULOS'!E27</f>
        <v>687.43000000000006</v>
      </c>
      <c r="F56" s="257">
        <v>9.14</v>
      </c>
      <c r="G56" s="218">
        <f t="shared" si="26"/>
        <v>6283.110200000001</v>
      </c>
      <c r="H56" s="257">
        <v>6.28</v>
      </c>
      <c r="I56" s="218">
        <f t="shared" si="27"/>
        <v>4317.0604000000003</v>
      </c>
      <c r="J56" s="219">
        <f t="shared" si="28"/>
        <v>10600.170600000001</v>
      </c>
      <c r="K56" s="220">
        <f>CALCULO_BDI_DESONERADO!D$25</f>
        <v>0.24717567842364541</v>
      </c>
      <c r="L56" s="219">
        <f t="shared" si="29"/>
        <v>13220.27</v>
      </c>
      <c r="M56" s="221">
        <f t="shared" si="30"/>
        <v>3.170373545830675E-2</v>
      </c>
      <c r="N56" s="222"/>
    </row>
    <row r="57" spans="1:1025" s="252" customFormat="1">
      <c r="A57" s="286"/>
      <c r="B57" s="286"/>
      <c r="C57" s="287" t="s">
        <v>55</v>
      </c>
      <c r="D57" s="286"/>
      <c r="E57" s="288"/>
      <c r="F57" s="288"/>
      <c r="G57" s="289"/>
      <c r="H57" s="288"/>
      <c r="I57" s="288"/>
      <c r="J57" s="289">
        <f>SUM(J51:J56)</f>
        <v>38594.447046000001</v>
      </c>
      <c r="K57" s="290"/>
      <c r="L57" s="289">
        <f>SUM(L51:L56)</f>
        <v>48134.05</v>
      </c>
      <c r="M57" s="235">
        <f>L57/L115</f>
        <v>0.11543101523167909</v>
      </c>
      <c r="O57" s="291">
        <f>L57</f>
        <v>48134.05</v>
      </c>
    </row>
    <row r="58" spans="1:1025" ht="15.75">
      <c r="A58" s="292">
        <v>5</v>
      </c>
      <c r="B58" s="293"/>
      <c r="C58" s="294" t="s">
        <v>174</v>
      </c>
      <c r="D58" s="292"/>
      <c r="E58" s="295"/>
      <c r="F58" s="296"/>
      <c r="G58" s="207"/>
      <c r="H58" s="296"/>
      <c r="I58" s="207"/>
      <c r="J58" s="297"/>
      <c r="K58" s="298"/>
      <c r="L58" s="297"/>
      <c r="M58" s="298"/>
      <c r="N58" s="222"/>
    </row>
    <row r="59" spans="1:1025" ht="28.5">
      <c r="A59" s="299" t="s">
        <v>256</v>
      </c>
      <c r="B59" s="300" t="s">
        <v>56</v>
      </c>
      <c r="C59" s="301" t="s">
        <v>257</v>
      </c>
      <c r="D59" s="302" t="s">
        <v>63</v>
      </c>
      <c r="E59" s="169">
        <f>'MEMORIAL DE CÁLCULOS'!E29</f>
        <v>75.600000000000009</v>
      </c>
      <c r="F59" s="217">
        <v>661.23</v>
      </c>
      <c r="G59" s="218">
        <f t="shared" ref="G59:G60" si="31">F59*E59</f>
        <v>49988.988000000005</v>
      </c>
      <c r="H59" s="217">
        <v>11.54</v>
      </c>
      <c r="I59" s="218">
        <f t="shared" ref="I59:I60" si="32">H59*E59</f>
        <v>872.42399999999998</v>
      </c>
      <c r="J59" s="219">
        <f t="shared" ref="J59:J60" si="33">G59+I59</f>
        <v>50861.412000000004</v>
      </c>
      <c r="K59" s="220">
        <f>CALCULO_BDI_DESONERADO!D$25</f>
        <v>0.24717567842364541</v>
      </c>
      <c r="L59" s="303">
        <f t="shared" ref="L59:L60" si="34">ROUND(J59*(1+K59),2)</f>
        <v>63433.120000000003</v>
      </c>
      <c r="M59" s="221">
        <f>L59/$L$115</f>
        <v>0.15211995335761125</v>
      </c>
      <c r="N59" s="222"/>
    </row>
    <row r="60" spans="1:1025" ht="28.5">
      <c r="A60" s="299" t="s">
        <v>259</v>
      </c>
      <c r="B60" s="300" t="s">
        <v>56</v>
      </c>
      <c r="C60" s="301" t="s">
        <v>258</v>
      </c>
      <c r="D60" s="302" t="s">
        <v>63</v>
      </c>
      <c r="E60" s="169">
        <f>'MEMORIAL DE CÁLCULOS'!E30</f>
        <v>2.1</v>
      </c>
      <c r="F60" s="217">
        <v>469.83</v>
      </c>
      <c r="G60" s="218">
        <f t="shared" si="31"/>
        <v>986.64300000000003</v>
      </c>
      <c r="H60" s="217">
        <v>8.51</v>
      </c>
      <c r="I60" s="218">
        <f t="shared" si="32"/>
        <v>17.870999999999999</v>
      </c>
      <c r="J60" s="219">
        <f t="shared" si="33"/>
        <v>1004.514</v>
      </c>
      <c r="K60" s="220">
        <f>CALCULO_BDI_DESONERADO!D$25</f>
        <v>0.24717567842364541</v>
      </c>
      <c r="L60" s="303">
        <f t="shared" si="34"/>
        <v>1252.81</v>
      </c>
      <c r="M60" s="221">
        <f>L60/$L$115</f>
        <v>3.0043831797324319E-3</v>
      </c>
      <c r="N60" s="222"/>
    </row>
    <row r="61" spans="1:1025" ht="33" customHeight="1">
      <c r="A61" s="299" t="s">
        <v>261</v>
      </c>
      <c r="B61" s="300" t="s">
        <v>38</v>
      </c>
      <c r="C61" s="301" t="s">
        <v>260</v>
      </c>
      <c r="D61" s="223" t="s">
        <v>63</v>
      </c>
      <c r="E61" s="169">
        <f>'MEMORIAL DE CÁLCULOS'!E31</f>
        <v>17.899999999999999</v>
      </c>
      <c r="F61" s="217">
        <v>696.34</v>
      </c>
      <c r="G61" s="218">
        <f>E61*F61</f>
        <v>12464.485999999999</v>
      </c>
      <c r="H61" s="217">
        <v>39.47</v>
      </c>
      <c r="I61" s="218">
        <f>E61*H61</f>
        <v>706.51299999999992</v>
      </c>
      <c r="J61" s="219">
        <f>G61+I61</f>
        <v>13170.999</v>
      </c>
      <c r="K61" s="220">
        <f>CALCULO_BDI_DESONERADO!D$25</f>
        <v>0.24717567842364541</v>
      </c>
      <c r="L61" s="219">
        <f>ROUND(J61*(1+K61),2)</f>
        <v>16426.55</v>
      </c>
      <c r="M61" s="221">
        <f>L61/$L$115</f>
        <v>3.9392765480027923E-2</v>
      </c>
      <c r="N61" s="222">
        <v>13170.999</v>
      </c>
    </row>
    <row r="62" spans="1:1025" ht="15.75">
      <c r="A62" s="240"/>
      <c r="B62" s="286"/>
      <c r="C62" s="287" t="s">
        <v>55</v>
      </c>
      <c r="D62" s="286"/>
      <c r="E62" s="288"/>
      <c r="F62" s="288"/>
      <c r="G62" s="289"/>
      <c r="H62" s="288"/>
      <c r="I62" s="288"/>
      <c r="J62" s="289">
        <f>SUM(J59:J61)</f>
        <v>65036.925000000003</v>
      </c>
      <c r="K62" s="290"/>
      <c r="L62" s="289">
        <f>SUM(L59:L61)</f>
        <v>81112.479999999996</v>
      </c>
      <c r="M62" s="235">
        <f>L62/$L$115</f>
        <v>0.19451710201737157</v>
      </c>
      <c r="N62" s="222"/>
    </row>
    <row r="63" spans="1:1025" s="305" customFormat="1" ht="15.75" hidden="1" customHeight="1">
      <c r="A63" s="244"/>
      <c r="B63" s="244"/>
      <c r="C63" s="244"/>
      <c r="D63" s="245"/>
      <c r="E63" s="246"/>
      <c r="F63" s="247"/>
      <c r="G63" s="248"/>
      <c r="H63" s="247"/>
      <c r="I63" s="248"/>
      <c r="J63" s="249"/>
      <c r="K63" s="250"/>
      <c r="L63" s="249"/>
      <c r="M63" s="235"/>
      <c r="N63" s="304">
        <f>SUM(N17:N62)</f>
        <v>44213.432050000003</v>
      </c>
    </row>
    <row r="64" spans="1:1025" s="305" customFormat="1" ht="15.75" customHeight="1">
      <c r="A64" s="404" t="s">
        <v>58</v>
      </c>
      <c r="B64" s="404"/>
      <c r="C64" s="404"/>
      <c r="D64" s="404"/>
      <c r="E64" s="404"/>
      <c r="F64" s="404"/>
      <c r="G64" s="404"/>
      <c r="H64" s="404"/>
      <c r="I64" s="404"/>
      <c r="J64" s="404"/>
      <c r="K64" s="404"/>
      <c r="L64" s="404"/>
      <c r="M64" s="404"/>
      <c r="N64" s="304"/>
    </row>
    <row r="65" spans="1:14" s="305" customFormat="1" ht="15.75" customHeight="1">
      <c r="A65" s="424" t="s">
        <v>361</v>
      </c>
      <c r="B65" s="424"/>
      <c r="C65" s="424"/>
      <c r="D65" s="424"/>
      <c r="E65" s="424"/>
      <c r="F65" s="424"/>
      <c r="G65" s="424"/>
      <c r="H65" s="424"/>
      <c r="I65" s="424"/>
      <c r="J65" s="424"/>
      <c r="K65" s="424"/>
      <c r="L65" s="424"/>
      <c r="M65" s="424"/>
      <c r="N65" s="304"/>
    </row>
    <row r="66" spans="1:14" s="305" customFormat="1" ht="15.75" customHeight="1">
      <c r="A66" s="365">
        <v>1</v>
      </c>
      <c r="B66" s="365"/>
      <c r="C66" s="366" t="s">
        <v>323</v>
      </c>
      <c r="D66" s="365"/>
      <c r="E66" s="367"/>
      <c r="F66" s="368"/>
      <c r="G66" s="368"/>
      <c r="H66" s="369"/>
      <c r="I66" s="368"/>
      <c r="J66" s="370"/>
      <c r="K66" s="371"/>
      <c r="L66" s="370"/>
      <c r="M66" s="372"/>
      <c r="N66" s="304"/>
    </row>
    <row r="67" spans="1:14" s="305" customFormat="1" ht="30.75" customHeight="1">
      <c r="A67" s="533">
        <v>20118</v>
      </c>
      <c r="B67" s="373" t="s">
        <v>38</v>
      </c>
      <c r="C67" s="374" t="s">
        <v>324</v>
      </c>
      <c r="D67" s="373" t="s">
        <v>62</v>
      </c>
      <c r="E67" s="375">
        <f>1.21+7.08</f>
        <v>8.2899999999999991</v>
      </c>
      <c r="F67" s="376">
        <v>0</v>
      </c>
      <c r="G67" s="377">
        <f t="shared" ref="G67:G76" si="35">F67*E67</f>
        <v>0</v>
      </c>
      <c r="H67" s="376">
        <v>34.950000000000003</v>
      </c>
      <c r="I67" s="377">
        <f t="shared" ref="I67:I77" si="36">H67*E67</f>
        <v>289.7355</v>
      </c>
      <c r="J67" s="378">
        <f t="shared" ref="J67:J77" si="37">G67+I67</f>
        <v>289.7355</v>
      </c>
      <c r="K67" s="220">
        <f>CALCULO_BDI_DESONERADO!D$25</f>
        <v>0.24717567842364541</v>
      </c>
      <c r="L67" s="378">
        <f t="shared" ref="L67:L77" si="38">ROUND(J67*(1+K67),2)</f>
        <v>361.35</v>
      </c>
      <c r="M67" s="221">
        <f>L67/$L$115</f>
        <v>8.6655906481933765E-4</v>
      </c>
      <c r="N67" s="304">
        <f>J67</f>
        <v>289.7355</v>
      </c>
    </row>
    <row r="68" spans="1:14" s="305" customFormat="1" ht="30.75" customHeight="1">
      <c r="A68" s="533">
        <v>20118</v>
      </c>
      <c r="B68" s="373" t="s">
        <v>38</v>
      </c>
      <c r="C68" s="374" t="s">
        <v>325</v>
      </c>
      <c r="D68" s="373" t="s">
        <v>62</v>
      </c>
      <c r="E68" s="375">
        <v>0.59</v>
      </c>
      <c r="F68" s="376">
        <v>0</v>
      </c>
      <c r="G68" s="377">
        <f t="shared" si="35"/>
        <v>0</v>
      </c>
      <c r="H68" s="376">
        <v>34.950000000000003</v>
      </c>
      <c r="I68" s="377">
        <f t="shared" si="36"/>
        <v>20.6205</v>
      </c>
      <c r="J68" s="378">
        <f t="shared" si="37"/>
        <v>20.6205</v>
      </c>
      <c r="K68" s="220">
        <f>CALCULO_BDI_DESONERADO!D$25</f>
        <v>0.24717567842364541</v>
      </c>
      <c r="L68" s="378">
        <f t="shared" si="38"/>
        <v>25.72</v>
      </c>
      <c r="M68" s="221">
        <f t="shared" ref="M68:M113" si="39">L68/$L$115</f>
        <v>6.1679532716627541E-5</v>
      </c>
      <c r="N68" s="304">
        <f t="shared" ref="N68:N76" si="40">J68</f>
        <v>20.6205</v>
      </c>
    </row>
    <row r="69" spans="1:14" s="305" customFormat="1" ht="30.75" customHeight="1">
      <c r="A69" s="533">
        <v>30105</v>
      </c>
      <c r="B69" s="373" t="s">
        <v>38</v>
      </c>
      <c r="C69" s="374" t="s">
        <v>61</v>
      </c>
      <c r="D69" s="373" t="s">
        <v>62</v>
      </c>
      <c r="E69" s="375">
        <f>0.17+7.08</f>
        <v>7.25</v>
      </c>
      <c r="F69" s="376">
        <v>84.55</v>
      </c>
      <c r="G69" s="377">
        <f t="shared" si="35"/>
        <v>612.98749999999995</v>
      </c>
      <c r="H69" s="376">
        <v>7.83</v>
      </c>
      <c r="I69" s="377">
        <f t="shared" si="36"/>
        <v>56.767499999999998</v>
      </c>
      <c r="J69" s="378">
        <f t="shared" si="37"/>
        <v>669.755</v>
      </c>
      <c r="K69" s="220">
        <f>CALCULO_BDI_DESONERADO!D$25</f>
        <v>0.24717567842364541</v>
      </c>
      <c r="L69" s="378">
        <f t="shared" si="38"/>
        <v>835.3</v>
      </c>
      <c r="M69" s="221">
        <f t="shared" si="39"/>
        <v>2.0031459439424177E-3</v>
      </c>
      <c r="N69" s="304">
        <f t="shared" si="40"/>
        <v>669.755</v>
      </c>
    </row>
    <row r="70" spans="1:14" s="305" customFormat="1" ht="30.75" customHeight="1">
      <c r="A70" s="533">
        <v>20115</v>
      </c>
      <c r="B70" s="373" t="s">
        <v>38</v>
      </c>
      <c r="C70" s="374" t="s">
        <v>326</v>
      </c>
      <c r="D70" s="373" t="s">
        <v>45</v>
      </c>
      <c r="E70" s="375">
        <v>8.6999999999999993</v>
      </c>
      <c r="F70" s="376">
        <v>0</v>
      </c>
      <c r="G70" s="377">
        <f t="shared" si="35"/>
        <v>0</v>
      </c>
      <c r="H70" s="376">
        <v>3.49</v>
      </c>
      <c r="I70" s="377">
        <f t="shared" si="36"/>
        <v>30.363</v>
      </c>
      <c r="J70" s="378">
        <f t="shared" si="37"/>
        <v>30.363</v>
      </c>
      <c r="K70" s="220">
        <f>CALCULO_BDI_DESONERADO!D$25</f>
        <v>0.24717567842364541</v>
      </c>
      <c r="L70" s="378">
        <f t="shared" si="38"/>
        <v>37.869999999999997</v>
      </c>
      <c r="M70" s="221">
        <f t="shared" si="39"/>
        <v>9.0816637013168145E-5</v>
      </c>
      <c r="N70" s="304">
        <f t="shared" si="40"/>
        <v>30.363</v>
      </c>
    </row>
    <row r="71" spans="1:14" s="305" customFormat="1" ht="30.75" customHeight="1">
      <c r="A71" s="533">
        <v>20137</v>
      </c>
      <c r="B71" s="373" t="s">
        <v>38</v>
      </c>
      <c r="C71" s="374" t="s">
        <v>327</v>
      </c>
      <c r="D71" s="373" t="s">
        <v>328</v>
      </c>
      <c r="E71" s="375">
        <v>1</v>
      </c>
      <c r="F71" s="376">
        <v>0</v>
      </c>
      <c r="G71" s="377">
        <f t="shared" si="35"/>
        <v>0</v>
      </c>
      <c r="H71" s="376">
        <v>3.49</v>
      </c>
      <c r="I71" s="377">
        <f t="shared" si="36"/>
        <v>3.49</v>
      </c>
      <c r="J71" s="378">
        <f t="shared" si="37"/>
        <v>3.49</v>
      </c>
      <c r="K71" s="220">
        <f>CALCULO_BDI_DESONERADO!D$25</f>
        <v>0.24717567842364541</v>
      </c>
      <c r="L71" s="378">
        <f t="shared" si="38"/>
        <v>4.3499999999999996</v>
      </c>
      <c r="M71" s="221">
        <f t="shared" si="39"/>
        <v>1.0431802772835529E-5</v>
      </c>
      <c r="N71" s="304">
        <f t="shared" si="40"/>
        <v>3.49</v>
      </c>
    </row>
    <row r="72" spans="1:14" s="305" customFormat="1" ht="30.75" customHeight="1">
      <c r="A72" s="533">
        <v>20138</v>
      </c>
      <c r="B72" s="373" t="s">
        <v>38</v>
      </c>
      <c r="C72" s="374" t="s">
        <v>329</v>
      </c>
      <c r="D72" s="373" t="s">
        <v>328</v>
      </c>
      <c r="E72" s="375">
        <v>2</v>
      </c>
      <c r="F72" s="376">
        <v>0</v>
      </c>
      <c r="G72" s="377">
        <f t="shared" si="35"/>
        <v>0</v>
      </c>
      <c r="H72" s="376">
        <v>4.6500000000000004</v>
      </c>
      <c r="I72" s="377">
        <f t="shared" si="36"/>
        <v>9.3000000000000007</v>
      </c>
      <c r="J72" s="378">
        <f t="shared" si="37"/>
        <v>9.3000000000000007</v>
      </c>
      <c r="K72" s="220">
        <f>CALCULO_BDI_DESONERADO!D$25</f>
        <v>0.24717567842364541</v>
      </c>
      <c r="L72" s="378">
        <f t="shared" si="38"/>
        <v>11.6</v>
      </c>
      <c r="M72" s="221">
        <f t="shared" si="39"/>
        <v>2.781814072756141E-5</v>
      </c>
      <c r="N72" s="304">
        <f t="shared" si="40"/>
        <v>9.3000000000000007</v>
      </c>
    </row>
    <row r="73" spans="1:14" s="305" customFormat="1" ht="30.75" customHeight="1">
      <c r="A73" s="533">
        <v>20140</v>
      </c>
      <c r="B73" s="373" t="s">
        <v>38</v>
      </c>
      <c r="C73" s="374" t="s">
        <v>330</v>
      </c>
      <c r="D73" s="373" t="s">
        <v>328</v>
      </c>
      <c r="E73" s="375">
        <v>5</v>
      </c>
      <c r="F73" s="376">
        <v>0</v>
      </c>
      <c r="G73" s="377">
        <f t="shared" si="35"/>
        <v>0</v>
      </c>
      <c r="H73" s="376">
        <v>4.0999999999999996</v>
      </c>
      <c r="I73" s="377">
        <f t="shared" si="36"/>
        <v>20.5</v>
      </c>
      <c r="J73" s="378">
        <f t="shared" si="37"/>
        <v>20.5</v>
      </c>
      <c r="K73" s="220">
        <f>CALCULO_BDI_DESONERADO!D$25</f>
        <v>0.24717567842364541</v>
      </c>
      <c r="L73" s="378">
        <f t="shared" si="38"/>
        <v>25.57</v>
      </c>
      <c r="M73" s="221">
        <f t="shared" si="39"/>
        <v>6.1319815379633211E-5</v>
      </c>
      <c r="N73" s="304">
        <f t="shared" si="40"/>
        <v>20.5</v>
      </c>
    </row>
    <row r="74" spans="1:14" s="305" customFormat="1" ht="30.75" customHeight="1">
      <c r="A74" s="533">
        <v>20165</v>
      </c>
      <c r="B74" s="373" t="s">
        <v>38</v>
      </c>
      <c r="C74" s="374" t="s">
        <v>331</v>
      </c>
      <c r="D74" s="373" t="s">
        <v>332</v>
      </c>
      <c r="E74" s="375">
        <v>7</v>
      </c>
      <c r="F74" s="376">
        <v>0</v>
      </c>
      <c r="G74" s="377">
        <f t="shared" si="35"/>
        <v>0</v>
      </c>
      <c r="H74" s="376">
        <v>0.37</v>
      </c>
      <c r="I74" s="377">
        <f t="shared" si="36"/>
        <v>2.59</v>
      </c>
      <c r="J74" s="378">
        <f t="shared" si="37"/>
        <v>2.59</v>
      </c>
      <c r="K74" s="220">
        <f>CALCULO_BDI_DESONERADO!D$25</f>
        <v>0.24717567842364541</v>
      </c>
      <c r="L74" s="378">
        <f t="shared" si="38"/>
        <v>3.23</v>
      </c>
      <c r="M74" s="221">
        <f t="shared" si="39"/>
        <v>7.7459133232778751E-6</v>
      </c>
      <c r="N74" s="304">
        <f t="shared" si="40"/>
        <v>2.59</v>
      </c>
    </row>
    <row r="75" spans="1:14" s="305" customFormat="1" ht="30.75" customHeight="1">
      <c r="A75" s="533">
        <v>20166</v>
      </c>
      <c r="B75" s="373" t="s">
        <v>38</v>
      </c>
      <c r="C75" s="374" t="s">
        <v>333</v>
      </c>
      <c r="D75" s="373" t="s">
        <v>332</v>
      </c>
      <c r="E75" s="375">
        <v>7</v>
      </c>
      <c r="F75" s="376">
        <v>0</v>
      </c>
      <c r="G75" s="377">
        <f t="shared" si="35"/>
        <v>0</v>
      </c>
      <c r="H75" s="376">
        <v>0.52</v>
      </c>
      <c r="I75" s="377">
        <f t="shared" si="36"/>
        <v>3.64</v>
      </c>
      <c r="J75" s="378">
        <f t="shared" si="37"/>
        <v>3.64</v>
      </c>
      <c r="K75" s="220">
        <f>CALCULO_BDI_DESONERADO!D$25</f>
        <v>0.24717567842364541</v>
      </c>
      <c r="L75" s="378">
        <f t="shared" si="38"/>
        <v>4.54</v>
      </c>
      <c r="M75" s="221">
        <f t="shared" si="39"/>
        <v>1.0887444733028346E-5</v>
      </c>
      <c r="N75" s="304">
        <f t="shared" si="40"/>
        <v>3.64</v>
      </c>
    </row>
    <row r="76" spans="1:14" s="305" customFormat="1" ht="30.75" customHeight="1">
      <c r="A76" s="533">
        <v>20164</v>
      </c>
      <c r="B76" s="373" t="s">
        <v>38</v>
      </c>
      <c r="C76" s="374" t="s">
        <v>334</v>
      </c>
      <c r="D76" s="373" t="s">
        <v>57</v>
      </c>
      <c r="E76" s="375">
        <v>12</v>
      </c>
      <c r="F76" s="376">
        <v>0</v>
      </c>
      <c r="G76" s="377">
        <f t="shared" si="35"/>
        <v>0</v>
      </c>
      <c r="H76" s="376">
        <v>0.52</v>
      </c>
      <c r="I76" s="377">
        <f t="shared" si="36"/>
        <v>6.24</v>
      </c>
      <c r="J76" s="378">
        <f t="shared" si="37"/>
        <v>6.24</v>
      </c>
      <c r="K76" s="220">
        <f>CALCULO_BDI_DESONERADO!D$25</f>
        <v>0.24717567842364541</v>
      </c>
      <c r="L76" s="378">
        <f t="shared" si="38"/>
        <v>7.78</v>
      </c>
      <c r="M76" s="221">
        <f t="shared" si="39"/>
        <v>1.8657339212105844E-5</v>
      </c>
      <c r="N76" s="304">
        <f t="shared" si="40"/>
        <v>6.24</v>
      </c>
    </row>
    <row r="77" spans="1:14" s="305" customFormat="1" ht="30.75" customHeight="1">
      <c r="A77" s="533">
        <v>97644</v>
      </c>
      <c r="B77" s="379" t="s">
        <v>56</v>
      </c>
      <c r="C77" s="380" t="s">
        <v>175</v>
      </c>
      <c r="D77" s="379" t="s">
        <v>45</v>
      </c>
      <c r="E77" s="375">
        <v>2.2000000000000002</v>
      </c>
      <c r="F77" s="376">
        <v>2.92</v>
      </c>
      <c r="G77" s="377">
        <v>4.8899999999999997</v>
      </c>
      <c r="H77" s="376">
        <v>6.96</v>
      </c>
      <c r="I77" s="377">
        <f t="shared" si="36"/>
        <v>15.312000000000001</v>
      </c>
      <c r="J77" s="378">
        <f t="shared" si="37"/>
        <v>20.202000000000002</v>
      </c>
      <c r="K77" s="220">
        <f>CALCULO_BDI_DESONERADO!D$25</f>
        <v>0.24717567842364541</v>
      </c>
      <c r="L77" s="378">
        <f t="shared" si="38"/>
        <v>25.2</v>
      </c>
      <c r="M77" s="221">
        <f t="shared" si="39"/>
        <v>6.0432512615047198E-5</v>
      </c>
      <c r="N77" s="304"/>
    </row>
    <row r="78" spans="1:14" s="305" customFormat="1" ht="15.75" customHeight="1">
      <c r="A78" s="534"/>
      <c r="B78" s="381"/>
      <c r="C78" s="382" t="s">
        <v>55</v>
      </c>
      <c r="D78" s="381"/>
      <c r="E78" s="383"/>
      <c r="F78" s="383"/>
      <c r="G78" s="384"/>
      <c r="H78" s="383"/>
      <c r="I78" s="383"/>
      <c r="J78" s="384">
        <f>SUM(J67:J77)</f>
        <v>1076.4359999999999</v>
      </c>
      <c r="K78" s="385"/>
      <c r="L78" s="384">
        <f>SUM(L67:L77)</f>
        <v>1342.5099999999995</v>
      </c>
      <c r="M78" s="395">
        <f t="shared" si="39"/>
        <v>3.2194941472550396E-3</v>
      </c>
      <c r="N78" s="304"/>
    </row>
    <row r="79" spans="1:14" s="305" customFormat="1" ht="15.75" customHeight="1">
      <c r="A79" s="535">
        <v>6</v>
      </c>
      <c r="B79" s="365"/>
      <c r="C79" s="366" t="s">
        <v>335</v>
      </c>
      <c r="D79" s="365"/>
      <c r="E79" s="367"/>
      <c r="F79" s="368"/>
      <c r="G79" s="368"/>
      <c r="H79" s="369"/>
      <c r="I79" s="369"/>
      <c r="J79" s="370"/>
      <c r="K79" s="370"/>
      <c r="L79" s="370"/>
      <c r="M79" s="386"/>
      <c r="N79" s="304"/>
    </row>
    <row r="80" spans="1:14" s="305" customFormat="1" ht="30.75" customHeight="1">
      <c r="A80" s="533">
        <v>100201</v>
      </c>
      <c r="B80" s="373" t="s">
        <v>38</v>
      </c>
      <c r="C80" s="374" t="s">
        <v>336</v>
      </c>
      <c r="D80" s="373" t="s">
        <v>45</v>
      </c>
      <c r="E80" s="375">
        <f>4.59+7.19</f>
        <v>11.780000000000001</v>
      </c>
      <c r="F80" s="376">
        <v>25.58</v>
      </c>
      <c r="G80" s="377">
        <f>F80*E80</f>
        <v>301.33240000000001</v>
      </c>
      <c r="H80" s="376">
        <v>25.02</v>
      </c>
      <c r="I80" s="377">
        <f>H80*E80</f>
        <v>294.73560000000003</v>
      </c>
      <c r="J80" s="378">
        <f>G80+I80</f>
        <v>596.06799999999998</v>
      </c>
      <c r="K80" s="220">
        <f>CALCULO_BDI_DESONERADO!D$25</f>
        <v>0.24717567842364541</v>
      </c>
      <c r="L80" s="378">
        <f>ROUND(J80*(1+K80),2)</f>
        <v>743.4</v>
      </c>
      <c r="M80" s="221">
        <f t="shared" si="39"/>
        <v>1.7827591221438925E-3</v>
      </c>
      <c r="N80" s="304">
        <f t="shared" ref="N80:N81" si="41">J80</f>
        <v>596.06799999999998</v>
      </c>
    </row>
    <row r="81" spans="1:14" s="305" customFormat="1" ht="30.75" customHeight="1">
      <c r="A81" s="533">
        <v>100204</v>
      </c>
      <c r="B81" s="373" t="s">
        <v>38</v>
      </c>
      <c r="C81" s="374" t="s">
        <v>337</v>
      </c>
      <c r="D81" s="373" t="s">
        <v>332</v>
      </c>
      <c r="E81" s="375">
        <v>1.1200000000000001</v>
      </c>
      <c r="F81" s="376">
        <v>9.75</v>
      </c>
      <c r="G81" s="377">
        <f>F81*E81</f>
        <v>10.920000000000002</v>
      </c>
      <c r="H81" s="376">
        <v>6.44</v>
      </c>
      <c r="I81" s="377">
        <f>H81*E81</f>
        <v>7.2128000000000014</v>
      </c>
      <c r="J81" s="378">
        <f>G81+I81</f>
        <v>18.132800000000003</v>
      </c>
      <c r="K81" s="220">
        <f>CALCULO_BDI_DESONERADO!D$25</f>
        <v>0.24717567842364541</v>
      </c>
      <c r="L81" s="378">
        <f>ROUND(J81*(1+K81),2)</f>
        <v>22.61</v>
      </c>
      <c r="M81" s="221">
        <f t="shared" si="39"/>
        <v>5.4221393262945125E-5</v>
      </c>
      <c r="N81" s="304">
        <f t="shared" si="41"/>
        <v>18.132800000000003</v>
      </c>
    </row>
    <row r="82" spans="1:14" s="305" customFormat="1" ht="47.25" customHeight="1">
      <c r="A82" s="261">
        <v>96360</v>
      </c>
      <c r="B82" s="387" t="s">
        <v>56</v>
      </c>
      <c r="C82" s="388" t="s">
        <v>338</v>
      </c>
      <c r="D82" s="387" t="s">
        <v>45</v>
      </c>
      <c r="E82" s="375">
        <v>5.4</v>
      </c>
      <c r="F82" s="376">
        <v>97.43</v>
      </c>
      <c r="G82" s="377">
        <f>F82*E82</f>
        <v>526.12200000000007</v>
      </c>
      <c r="H82" s="376">
        <v>12.91</v>
      </c>
      <c r="I82" s="377">
        <f>H82*E82</f>
        <v>69.713999999999999</v>
      </c>
      <c r="J82" s="378">
        <f>G82+I82</f>
        <v>595.83600000000001</v>
      </c>
      <c r="K82" s="220">
        <f>CALCULO_BDI_DESONERADO!D$25</f>
        <v>0.24717567842364541</v>
      </c>
      <c r="L82" s="378">
        <f>ROUND(J82*(1+K82),2)</f>
        <v>743.11</v>
      </c>
      <c r="M82" s="221">
        <f t="shared" si="39"/>
        <v>1.7820636686257034E-3</v>
      </c>
      <c r="N82" s="304"/>
    </row>
    <row r="83" spans="1:14" s="305" customFormat="1" ht="15.75" customHeight="1">
      <c r="A83" s="534"/>
      <c r="B83" s="381"/>
      <c r="C83" s="382" t="s">
        <v>55</v>
      </c>
      <c r="D83" s="381"/>
      <c r="E83" s="383"/>
      <c r="F83" s="383"/>
      <c r="G83" s="384"/>
      <c r="H83" s="383"/>
      <c r="I83" s="383"/>
      <c r="J83" s="384">
        <f>SUM(J80:J82)</f>
        <v>1210.0367999999999</v>
      </c>
      <c r="K83" s="384"/>
      <c r="L83" s="384">
        <f>SUM(L80:L82)</f>
        <v>1509.12</v>
      </c>
      <c r="M83" s="395">
        <f t="shared" si="39"/>
        <v>3.6190441840325406E-3</v>
      </c>
      <c r="N83" s="304"/>
    </row>
    <row r="84" spans="1:14" s="305" customFormat="1" ht="15.75" customHeight="1">
      <c r="A84" s="535">
        <v>9</v>
      </c>
      <c r="B84" s="365"/>
      <c r="C84" s="366" t="s">
        <v>339</v>
      </c>
      <c r="D84" s="365"/>
      <c r="E84" s="367"/>
      <c r="F84" s="368"/>
      <c r="G84" s="368"/>
      <c r="H84" s="369"/>
      <c r="I84" s="369"/>
      <c r="J84" s="370"/>
      <c r="K84" s="370"/>
      <c r="L84" s="370"/>
      <c r="M84" s="386"/>
      <c r="N84" s="304"/>
    </row>
    <row r="85" spans="1:14" s="305" customFormat="1" ht="30.75" customHeight="1">
      <c r="A85" s="533">
        <v>170103</v>
      </c>
      <c r="B85" s="373" t="s">
        <v>38</v>
      </c>
      <c r="C85" s="374" t="s">
        <v>340</v>
      </c>
      <c r="D85" s="373" t="s">
        <v>328</v>
      </c>
      <c r="E85" s="375">
        <v>3</v>
      </c>
      <c r="F85" s="376">
        <v>607.76</v>
      </c>
      <c r="G85" s="377">
        <f t="shared" ref="G85:G88" si="42">F85*E85</f>
        <v>1823.28</v>
      </c>
      <c r="H85" s="376">
        <v>133.18</v>
      </c>
      <c r="I85" s="377">
        <f t="shared" ref="I85:I88" si="43">H85*E85</f>
        <v>399.54</v>
      </c>
      <c r="J85" s="378">
        <f t="shared" ref="J85:J88" si="44">G85+I85</f>
        <v>2222.8200000000002</v>
      </c>
      <c r="K85" s="220">
        <f>CALCULO_BDI_DESONERADO!D$25</f>
        <v>0.24717567842364541</v>
      </c>
      <c r="L85" s="378">
        <f t="shared" ref="L85:L88" si="45">ROUND(J85*(1+K85),2)</f>
        <v>2772.25</v>
      </c>
      <c r="M85" s="221">
        <f t="shared" si="39"/>
        <v>6.6481759165501831E-3</v>
      </c>
      <c r="N85" s="304">
        <f t="shared" ref="N85:N88" si="46">J85</f>
        <v>2222.8200000000002</v>
      </c>
    </row>
    <row r="86" spans="1:14" s="305" customFormat="1" ht="30.75" customHeight="1">
      <c r="A86" s="261">
        <v>180204</v>
      </c>
      <c r="B86" s="387" t="s">
        <v>38</v>
      </c>
      <c r="C86" s="388" t="s">
        <v>405</v>
      </c>
      <c r="D86" s="387" t="s">
        <v>328</v>
      </c>
      <c r="E86" s="375">
        <v>2</v>
      </c>
      <c r="F86" s="376">
        <v>1589.38</v>
      </c>
      <c r="G86" s="377">
        <f t="shared" si="42"/>
        <v>3178.76</v>
      </c>
      <c r="H86" s="376">
        <v>75.75</v>
      </c>
      <c r="I86" s="377">
        <f t="shared" si="43"/>
        <v>151.5</v>
      </c>
      <c r="J86" s="378">
        <f t="shared" si="44"/>
        <v>3330.26</v>
      </c>
      <c r="K86" s="220">
        <f>CALCULO_BDI_DESONERADO!D$25</f>
        <v>0.24717567842364541</v>
      </c>
      <c r="L86" s="378">
        <f t="shared" si="45"/>
        <v>4153.42</v>
      </c>
      <c r="M86" s="221">
        <f t="shared" si="39"/>
        <v>9.9603812121265619E-3</v>
      </c>
      <c r="N86" s="304">
        <f t="shared" si="46"/>
        <v>3330.26</v>
      </c>
    </row>
    <row r="87" spans="1:14" s="305" customFormat="1" ht="30.75" customHeight="1">
      <c r="A87" s="261">
        <v>180115</v>
      </c>
      <c r="B87" s="389" t="s">
        <v>38</v>
      </c>
      <c r="C87" s="390" t="s">
        <v>341</v>
      </c>
      <c r="D87" s="389" t="s">
        <v>45</v>
      </c>
      <c r="E87" s="391">
        <v>0.27</v>
      </c>
      <c r="F87" s="392">
        <v>1114.56</v>
      </c>
      <c r="G87" s="393">
        <f t="shared" si="42"/>
        <v>300.93119999999999</v>
      </c>
      <c r="H87" s="392">
        <v>39.47</v>
      </c>
      <c r="I87" s="393">
        <f t="shared" si="43"/>
        <v>10.6569</v>
      </c>
      <c r="J87" s="394">
        <f t="shared" si="44"/>
        <v>311.5881</v>
      </c>
      <c r="K87" s="220">
        <f>CALCULO_BDI_DESONERADO!D$25</f>
        <v>0.24717567842364541</v>
      </c>
      <c r="L87" s="394">
        <f t="shared" si="45"/>
        <v>388.61</v>
      </c>
      <c r="M87" s="221">
        <f t="shared" si="39"/>
        <v>9.3193169552910696E-4</v>
      </c>
      <c r="N87" s="304">
        <f t="shared" si="46"/>
        <v>311.5881</v>
      </c>
    </row>
    <row r="88" spans="1:14" s="305" customFormat="1" ht="30.75" customHeight="1">
      <c r="A88" s="261">
        <v>230101</v>
      </c>
      <c r="B88" s="389" t="s">
        <v>38</v>
      </c>
      <c r="C88" s="390" t="s">
        <v>342</v>
      </c>
      <c r="D88" s="389" t="s">
        <v>328</v>
      </c>
      <c r="E88" s="391">
        <v>3</v>
      </c>
      <c r="F88" s="392">
        <v>161.12</v>
      </c>
      <c r="G88" s="393">
        <f t="shared" si="42"/>
        <v>483.36</v>
      </c>
      <c r="H88" s="392">
        <v>19.22</v>
      </c>
      <c r="I88" s="393">
        <f t="shared" si="43"/>
        <v>57.66</v>
      </c>
      <c r="J88" s="394">
        <f t="shared" si="44"/>
        <v>541.02</v>
      </c>
      <c r="K88" s="220">
        <f>CALCULO_BDI_DESONERADO!D$25</f>
        <v>0.24717567842364541</v>
      </c>
      <c r="L88" s="394">
        <f t="shared" si="45"/>
        <v>674.75</v>
      </c>
      <c r="M88" s="221">
        <f t="shared" si="39"/>
        <v>1.618128487579488E-3</v>
      </c>
      <c r="N88" s="304">
        <f t="shared" si="46"/>
        <v>541.02</v>
      </c>
    </row>
    <row r="89" spans="1:14" s="305" customFormat="1" ht="15.75" customHeight="1">
      <c r="A89" s="534"/>
      <c r="B89" s="381"/>
      <c r="C89" s="382" t="s">
        <v>55</v>
      </c>
      <c r="D89" s="381"/>
      <c r="E89" s="383"/>
      <c r="F89" s="383"/>
      <c r="G89" s="384"/>
      <c r="H89" s="383"/>
      <c r="I89" s="383"/>
      <c r="J89" s="384">
        <f>SUM(J85:J88)</f>
        <v>6405.6880999999994</v>
      </c>
      <c r="K89" s="384"/>
      <c r="L89" s="384">
        <f>SUM(L85:L88)</f>
        <v>7989.03</v>
      </c>
      <c r="M89" s="395">
        <f t="shared" si="39"/>
        <v>1.915861731178534E-2</v>
      </c>
      <c r="N89" s="304"/>
    </row>
    <row r="90" spans="1:14" s="305" customFormat="1" ht="15.75" customHeight="1">
      <c r="A90" s="535">
        <v>10</v>
      </c>
      <c r="B90" s="365"/>
      <c r="C90" s="366" t="s">
        <v>343</v>
      </c>
      <c r="D90" s="365"/>
      <c r="E90" s="367"/>
      <c r="F90" s="368"/>
      <c r="G90" s="368"/>
      <c r="H90" s="369"/>
      <c r="I90" s="369"/>
      <c r="J90" s="370"/>
      <c r="K90" s="370"/>
      <c r="L90" s="370"/>
      <c r="M90" s="386"/>
      <c r="N90" s="304"/>
    </row>
    <row r="91" spans="1:14" s="305" customFormat="1" ht="30.75" customHeight="1">
      <c r="A91" s="533">
        <v>200499</v>
      </c>
      <c r="B91" s="373" t="s">
        <v>38</v>
      </c>
      <c r="C91" s="374" t="s">
        <v>344</v>
      </c>
      <c r="D91" s="373" t="s">
        <v>45</v>
      </c>
      <c r="E91" s="391">
        <v>14.24</v>
      </c>
      <c r="F91" s="392">
        <v>9.52</v>
      </c>
      <c r="G91" s="393">
        <f>F91*E91</f>
        <v>135.56479999999999</v>
      </c>
      <c r="H91" s="392">
        <v>16.88</v>
      </c>
      <c r="I91" s="393">
        <f>H91*E91</f>
        <v>240.37119999999999</v>
      </c>
      <c r="J91" s="394">
        <f>G91+I91</f>
        <v>375.93599999999998</v>
      </c>
      <c r="K91" s="220">
        <f>CALCULO_BDI_DESONERADO!D$25</f>
        <v>0.24717567842364541</v>
      </c>
      <c r="L91" s="394">
        <f>ROUND(J91*(1+K91),2)</f>
        <v>468.86</v>
      </c>
      <c r="M91" s="221">
        <f t="shared" si="39"/>
        <v>1.1243804708210728E-3</v>
      </c>
      <c r="N91" s="304">
        <f t="shared" ref="N91:N94" si="47">J91</f>
        <v>375.93599999999998</v>
      </c>
    </row>
    <row r="92" spans="1:14" s="305" customFormat="1" ht="30.75" customHeight="1">
      <c r="A92" s="533">
        <v>201302</v>
      </c>
      <c r="B92" s="373" t="s">
        <v>38</v>
      </c>
      <c r="C92" s="374" t="s">
        <v>345</v>
      </c>
      <c r="D92" s="373" t="s">
        <v>45</v>
      </c>
      <c r="E92" s="391">
        <v>37.08</v>
      </c>
      <c r="F92" s="392">
        <v>61.25</v>
      </c>
      <c r="G92" s="393">
        <f>F92*E92</f>
        <v>2271.15</v>
      </c>
      <c r="H92" s="392">
        <v>22.69</v>
      </c>
      <c r="I92" s="393">
        <f>H92*E92</f>
        <v>841.34519999999998</v>
      </c>
      <c r="J92" s="394">
        <f>G92+I92</f>
        <v>3112.4952000000003</v>
      </c>
      <c r="K92" s="220">
        <f>CALCULO_BDI_DESONERADO!D$25</f>
        <v>0.24717567842364541</v>
      </c>
      <c r="L92" s="394">
        <f>ROUND(J92*(1+K92),2)</f>
        <v>3881.83</v>
      </c>
      <c r="M92" s="221">
        <f t="shared" si="39"/>
        <v>9.3090770017646308E-3</v>
      </c>
      <c r="N92" s="304">
        <f t="shared" si="47"/>
        <v>3112.4952000000003</v>
      </c>
    </row>
    <row r="93" spans="1:14" s="305" customFormat="1" ht="30.75" customHeight="1">
      <c r="A93" s="533">
        <v>200101</v>
      </c>
      <c r="B93" s="373" t="s">
        <v>38</v>
      </c>
      <c r="C93" s="374" t="s">
        <v>346</v>
      </c>
      <c r="D93" s="373" t="s">
        <v>45</v>
      </c>
      <c r="E93" s="391">
        <v>38.93</v>
      </c>
      <c r="F93" s="392">
        <v>2.31</v>
      </c>
      <c r="G93" s="393">
        <f>F93*E93</f>
        <v>89.928300000000007</v>
      </c>
      <c r="H93" s="392">
        <v>3.03</v>
      </c>
      <c r="I93" s="393">
        <f>H93*E93</f>
        <v>117.9579</v>
      </c>
      <c r="J93" s="394">
        <f>G93+I93</f>
        <v>207.8862</v>
      </c>
      <c r="K93" s="220">
        <f>CALCULO_BDI_DESONERADO!D$25</f>
        <v>0.24717567842364541</v>
      </c>
      <c r="L93" s="394">
        <f>ROUND(J93*(1+K93),2)</f>
        <v>259.27</v>
      </c>
      <c r="M93" s="221">
        <f t="shared" si="39"/>
        <v>6.217594264167971E-4</v>
      </c>
      <c r="N93" s="304">
        <f t="shared" si="47"/>
        <v>207.8862</v>
      </c>
    </row>
    <row r="94" spans="1:14" s="305" customFormat="1" ht="30.75" customHeight="1">
      <c r="A94" s="533">
        <v>200201</v>
      </c>
      <c r="B94" s="373" t="s">
        <v>38</v>
      </c>
      <c r="C94" s="374" t="s">
        <v>347</v>
      </c>
      <c r="D94" s="373" t="s">
        <v>45</v>
      </c>
      <c r="E94" s="391">
        <v>38.93</v>
      </c>
      <c r="F94" s="392">
        <v>9.4</v>
      </c>
      <c r="G94" s="393">
        <f>F94*E94</f>
        <v>365.94200000000001</v>
      </c>
      <c r="H94" s="392">
        <v>12.2</v>
      </c>
      <c r="I94" s="393">
        <f>H94*E94</f>
        <v>474.94599999999997</v>
      </c>
      <c r="J94" s="394">
        <f>G94+I94</f>
        <v>840.88799999999992</v>
      </c>
      <c r="K94" s="220">
        <f>CALCULO_BDI_DESONERADO!D$25</f>
        <v>0.24717567842364541</v>
      </c>
      <c r="L94" s="394">
        <f>ROUND(J94*(1+K94),2)</f>
        <v>1048.74</v>
      </c>
      <c r="M94" s="221">
        <f t="shared" si="39"/>
        <v>2.5149997333295477E-3</v>
      </c>
      <c r="N94" s="304">
        <f t="shared" si="47"/>
        <v>840.88799999999992</v>
      </c>
    </row>
    <row r="95" spans="1:14" s="305" customFormat="1" ht="15.75" customHeight="1">
      <c r="A95" s="534"/>
      <c r="B95" s="381"/>
      <c r="C95" s="382" t="s">
        <v>55</v>
      </c>
      <c r="D95" s="381"/>
      <c r="E95" s="383"/>
      <c r="F95" s="383"/>
      <c r="G95" s="384"/>
      <c r="H95" s="383"/>
      <c r="I95" s="383"/>
      <c r="J95" s="384">
        <f>SUM(J91:J94)</f>
        <v>4537.2054000000007</v>
      </c>
      <c r="K95" s="384"/>
      <c r="L95" s="384">
        <f>SUM(L91:L94)</f>
        <v>5658.6999999999989</v>
      </c>
      <c r="M95" s="395">
        <f t="shared" si="39"/>
        <v>1.3570216632332046E-2</v>
      </c>
      <c r="N95" s="304"/>
    </row>
    <row r="96" spans="1:14" s="305" customFormat="1" ht="15.75" customHeight="1">
      <c r="A96" s="535">
        <v>11</v>
      </c>
      <c r="B96" s="365"/>
      <c r="C96" s="366" t="s">
        <v>348</v>
      </c>
      <c r="D96" s="365"/>
      <c r="E96" s="367"/>
      <c r="F96" s="368"/>
      <c r="G96" s="368"/>
      <c r="H96" s="369"/>
      <c r="I96" s="369"/>
      <c r="J96" s="370"/>
      <c r="K96" s="370"/>
      <c r="L96" s="370"/>
      <c r="M96" s="386"/>
      <c r="N96" s="304"/>
    </row>
    <row r="97" spans="1:14" s="305" customFormat="1" ht="30.75" customHeight="1">
      <c r="A97" s="533">
        <v>210501</v>
      </c>
      <c r="B97" s="373" t="s">
        <v>38</v>
      </c>
      <c r="C97" s="374" t="s">
        <v>349</v>
      </c>
      <c r="D97" s="373" t="s">
        <v>45</v>
      </c>
      <c r="E97" s="391">
        <v>6.47</v>
      </c>
      <c r="F97" s="392">
        <v>22.25</v>
      </c>
      <c r="G97" s="393">
        <f>F97*E97</f>
        <v>143.95749999999998</v>
      </c>
      <c r="H97" s="392">
        <v>15.93</v>
      </c>
      <c r="I97" s="393">
        <f>H97*E97</f>
        <v>103.0671</v>
      </c>
      <c r="J97" s="394">
        <f>G97+I97</f>
        <v>247.02459999999996</v>
      </c>
      <c r="K97" s="220">
        <f>CALCULO_BDI_DESONERADO!D$25</f>
        <v>0.24717567842364541</v>
      </c>
      <c r="L97" s="394">
        <f>ROUND(J97*(1+K97),2)</f>
        <v>308.08</v>
      </c>
      <c r="M97" s="221">
        <f t="shared" si="39"/>
        <v>7.3881144787475163E-4</v>
      </c>
      <c r="N97" s="304">
        <f t="shared" ref="N97:N98" si="48">J97</f>
        <v>247.02459999999996</v>
      </c>
    </row>
    <row r="98" spans="1:14" s="305" customFormat="1" ht="30.75" customHeight="1">
      <c r="A98" s="533">
        <v>210506</v>
      </c>
      <c r="B98" s="373" t="s">
        <v>38</v>
      </c>
      <c r="C98" s="374" t="s">
        <v>350</v>
      </c>
      <c r="D98" s="373" t="s">
        <v>332</v>
      </c>
      <c r="E98" s="391">
        <v>14.45</v>
      </c>
      <c r="F98" s="392">
        <v>17.989999999999998</v>
      </c>
      <c r="G98" s="393">
        <f>F98*E98</f>
        <v>259.95549999999997</v>
      </c>
      <c r="H98" s="392">
        <v>0</v>
      </c>
      <c r="I98" s="393">
        <f>H98*E98</f>
        <v>0</v>
      </c>
      <c r="J98" s="394">
        <f>G98+I98</f>
        <v>259.95549999999997</v>
      </c>
      <c r="K98" s="220">
        <f>CALCULO_BDI_DESONERADO!D$25</f>
        <v>0.24717567842364541</v>
      </c>
      <c r="L98" s="394">
        <f>ROUND(J98*(1+K98),2)</f>
        <v>324.20999999999998</v>
      </c>
      <c r="M98" s="221">
        <f t="shared" si="39"/>
        <v>7.7749305217954181E-4</v>
      </c>
      <c r="N98" s="304">
        <f t="shared" si="48"/>
        <v>259.95549999999997</v>
      </c>
    </row>
    <row r="99" spans="1:14" s="305" customFormat="1" ht="15.75" customHeight="1">
      <c r="A99" s="534"/>
      <c r="B99" s="381"/>
      <c r="C99" s="382" t="s">
        <v>55</v>
      </c>
      <c r="D99" s="381"/>
      <c r="E99" s="383"/>
      <c r="F99" s="383"/>
      <c r="G99" s="384"/>
      <c r="H99" s="383"/>
      <c r="I99" s="383"/>
      <c r="J99" s="384">
        <f>SUM(J97:J98)</f>
        <v>506.98009999999994</v>
      </c>
      <c r="K99" s="384"/>
      <c r="L99" s="384">
        <f>SUM(L97:L98)</f>
        <v>632.29</v>
      </c>
      <c r="M99" s="395">
        <f t="shared" si="39"/>
        <v>1.5163045000542933E-3</v>
      </c>
      <c r="N99" s="304"/>
    </row>
    <row r="100" spans="1:14" s="305" customFormat="1" ht="15.75" customHeight="1">
      <c r="A100" s="535">
        <v>12</v>
      </c>
      <c r="B100" s="365"/>
      <c r="C100" s="366" t="s">
        <v>351</v>
      </c>
      <c r="D100" s="365"/>
      <c r="E100" s="367"/>
      <c r="F100" s="368"/>
      <c r="G100" s="368"/>
      <c r="H100" s="369"/>
      <c r="I100" s="369"/>
      <c r="J100" s="370"/>
      <c r="K100" s="370"/>
      <c r="L100" s="370"/>
      <c r="M100" s="386"/>
      <c r="N100" s="304"/>
    </row>
    <row r="101" spans="1:14" s="305" customFormat="1" ht="30.75" customHeight="1">
      <c r="A101" s="261">
        <v>220001</v>
      </c>
      <c r="B101" s="389" t="s">
        <v>38</v>
      </c>
      <c r="C101" s="390" t="s">
        <v>352</v>
      </c>
      <c r="D101" s="389" t="s">
        <v>332</v>
      </c>
      <c r="E101" s="391">
        <v>72.3</v>
      </c>
      <c r="F101" s="392">
        <v>5.69</v>
      </c>
      <c r="G101" s="393">
        <f>F101*E101</f>
        <v>411.387</v>
      </c>
      <c r="H101" s="392">
        <v>1.33</v>
      </c>
      <c r="I101" s="393">
        <f>H101*E101</f>
        <v>96.159000000000006</v>
      </c>
      <c r="J101" s="394">
        <f>G101+I101</f>
        <v>507.54599999999999</v>
      </c>
      <c r="K101" s="220">
        <f>CALCULO_BDI_DESONERADO!D$25</f>
        <v>0.24717567842364541</v>
      </c>
      <c r="L101" s="394">
        <f>ROUND(J101*(1+K101),2)</f>
        <v>633</v>
      </c>
      <c r="M101" s="221">
        <f t="shared" si="39"/>
        <v>1.5180071621160667E-3</v>
      </c>
      <c r="N101" s="304">
        <f t="shared" ref="N101:N103" si="49">J101</f>
        <v>507.54599999999999</v>
      </c>
    </row>
    <row r="102" spans="1:14" s="305" customFormat="1" ht="30.75" customHeight="1">
      <c r="A102" s="261">
        <v>221101</v>
      </c>
      <c r="B102" s="389" t="s">
        <v>38</v>
      </c>
      <c r="C102" s="390" t="s">
        <v>353</v>
      </c>
      <c r="D102" s="389" t="s">
        <v>45</v>
      </c>
      <c r="E102" s="391">
        <v>3.58</v>
      </c>
      <c r="F102" s="392">
        <v>88.72</v>
      </c>
      <c r="G102" s="393">
        <f>F102*E102</f>
        <v>317.61759999999998</v>
      </c>
      <c r="H102" s="392">
        <v>16.12</v>
      </c>
      <c r="I102" s="393">
        <f>H102*E102</f>
        <v>57.709600000000002</v>
      </c>
      <c r="J102" s="394">
        <f>G102+I102</f>
        <v>375.3272</v>
      </c>
      <c r="K102" s="220">
        <f>CALCULO_BDI_DESONERADO!D$25</f>
        <v>0.24717567842364541</v>
      </c>
      <c r="L102" s="394">
        <f>ROUND(J102*(1+K102),2)</f>
        <v>468.1</v>
      </c>
      <c r="M102" s="221">
        <f t="shared" si="39"/>
        <v>1.1225579029803014E-3</v>
      </c>
      <c r="N102" s="304">
        <f t="shared" si="49"/>
        <v>375.3272</v>
      </c>
    </row>
    <row r="103" spans="1:14" s="305" customFormat="1" ht="30.75" customHeight="1">
      <c r="A103" s="261">
        <v>221102</v>
      </c>
      <c r="B103" s="389" t="s">
        <v>38</v>
      </c>
      <c r="C103" s="390" t="s">
        <v>354</v>
      </c>
      <c r="D103" s="389" t="s">
        <v>332</v>
      </c>
      <c r="E103" s="391">
        <v>22.8</v>
      </c>
      <c r="F103" s="392">
        <v>14.5</v>
      </c>
      <c r="G103" s="393">
        <f>F103*E103</f>
        <v>330.6</v>
      </c>
      <c r="H103" s="392">
        <v>0</v>
      </c>
      <c r="I103" s="393">
        <f>H103*E103</f>
        <v>0</v>
      </c>
      <c r="J103" s="394">
        <f>G103+I103</f>
        <v>330.6</v>
      </c>
      <c r="K103" s="220">
        <f>CALCULO_BDI_DESONERADO!D$25</f>
        <v>0.24717567842364541</v>
      </c>
      <c r="L103" s="394">
        <f>ROUND(J103*(1+K103),2)</f>
        <v>412.32</v>
      </c>
      <c r="M103" s="221">
        <f t="shared" si="39"/>
        <v>9.887910159300105E-4</v>
      </c>
      <c r="N103" s="304">
        <f t="shared" si="49"/>
        <v>330.6</v>
      </c>
    </row>
    <row r="104" spans="1:14" s="305" customFormat="1" ht="15.75" customHeight="1">
      <c r="A104" s="534"/>
      <c r="B104" s="381"/>
      <c r="C104" s="382" t="s">
        <v>55</v>
      </c>
      <c r="D104" s="381"/>
      <c r="E104" s="383"/>
      <c r="F104" s="383"/>
      <c r="G104" s="384"/>
      <c r="H104" s="383"/>
      <c r="I104" s="383"/>
      <c r="J104" s="384">
        <f>SUM(J101:J103)</f>
        <v>1213.4731999999999</v>
      </c>
      <c r="K104" s="384"/>
      <c r="L104" s="384">
        <f>SUM(L101:L103)</f>
        <v>1513.4199999999998</v>
      </c>
      <c r="M104" s="395">
        <f t="shared" si="39"/>
        <v>3.6293560810263781E-3</v>
      </c>
      <c r="N104" s="304"/>
    </row>
    <row r="105" spans="1:14" s="305" customFormat="1" ht="15.75" customHeight="1">
      <c r="A105" s="535">
        <v>13</v>
      </c>
      <c r="B105" s="365"/>
      <c r="C105" s="366" t="s">
        <v>355</v>
      </c>
      <c r="D105" s="365"/>
      <c r="E105" s="367"/>
      <c r="F105" s="368"/>
      <c r="G105" s="368"/>
      <c r="H105" s="369"/>
      <c r="I105" s="369"/>
      <c r="J105" s="370"/>
      <c r="K105" s="370"/>
      <c r="L105" s="370"/>
      <c r="M105" s="386"/>
      <c r="N105" s="304"/>
    </row>
    <row r="106" spans="1:14" s="305" customFormat="1" ht="30.75" customHeight="1">
      <c r="A106" s="261">
        <v>261300</v>
      </c>
      <c r="B106" s="389" t="s">
        <v>38</v>
      </c>
      <c r="C106" s="390" t="s">
        <v>356</v>
      </c>
      <c r="D106" s="389" t="s">
        <v>45</v>
      </c>
      <c r="E106" s="391">
        <v>26.73</v>
      </c>
      <c r="F106" s="392">
        <v>2.41</v>
      </c>
      <c r="G106" s="393">
        <f>F106*E106</f>
        <v>64.419300000000007</v>
      </c>
      <c r="H106" s="392">
        <v>8.48</v>
      </c>
      <c r="I106" s="393">
        <f>H106*E106</f>
        <v>226.67040000000003</v>
      </c>
      <c r="J106" s="394">
        <f>G106+I106</f>
        <v>291.08970000000005</v>
      </c>
      <c r="K106" s="220">
        <f>CALCULO_BDI_DESONERADO!D$25</f>
        <v>0.24717567842364541</v>
      </c>
      <c r="L106" s="394">
        <f>ROUND(J106*(1+K106),2)</f>
        <v>363.04</v>
      </c>
      <c r="M106" s="221">
        <f t="shared" si="39"/>
        <v>8.7061188014947368E-4</v>
      </c>
      <c r="N106" s="304">
        <f t="shared" ref="N106:N109" si="50">J106</f>
        <v>291.08970000000005</v>
      </c>
    </row>
    <row r="107" spans="1:14" s="305" customFormat="1" ht="30.75" customHeight="1">
      <c r="A107" s="261">
        <v>261002</v>
      </c>
      <c r="B107" s="389" t="s">
        <v>38</v>
      </c>
      <c r="C107" s="390" t="s">
        <v>357</v>
      </c>
      <c r="D107" s="389" t="s">
        <v>45</v>
      </c>
      <c r="E107" s="391">
        <v>24.92</v>
      </c>
      <c r="F107" s="392">
        <v>23.42</v>
      </c>
      <c r="G107" s="393">
        <f>F107*E107</f>
        <v>583.6264000000001</v>
      </c>
      <c r="H107" s="392">
        <v>12.5</v>
      </c>
      <c r="I107" s="393">
        <f>H107*E107</f>
        <v>311.5</v>
      </c>
      <c r="J107" s="394">
        <f>G107+I107</f>
        <v>895.1264000000001</v>
      </c>
      <c r="K107" s="220">
        <f>CALCULO_BDI_DESONERADO!D$25</f>
        <v>0.24717567842364541</v>
      </c>
      <c r="L107" s="394">
        <f>ROUND(J107*(1+K107),2)</f>
        <v>1116.3800000000001</v>
      </c>
      <c r="M107" s="221">
        <f t="shared" si="39"/>
        <v>2.6772082711581905E-3</v>
      </c>
      <c r="N107" s="304">
        <f t="shared" si="50"/>
        <v>895.1264000000001</v>
      </c>
    </row>
    <row r="108" spans="1:14" s="305" customFormat="1" ht="30.75" customHeight="1">
      <c r="A108" s="261">
        <v>261503</v>
      </c>
      <c r="B108" s="389" t="s">
        <v>38</v>
      </c>
      <c r="C108" s="390" t="s">
        <v>358</v>
      </c>
      <c r="D108" s="389" t="s">
        <v>45</v>
      </c>
      <c r="E108" s="391">
        <v>13.66</v>
      </c>
      <c r="F108" s="392">
        <v>3.98</v>
      </c>
      <c r="G108" s="393">
        <f>F108*E108</f>
        <v>54.366799999999998</v>
      </c>
      <c r="H108" s="392">
        <v>11.17</v>
      </c>
      <c r="I108" s="393">
        <f>H108*E108</f>
        <v>152.5822</v>
      </c>
      <c r="J108" s="394">
        <f>G108+I108</f>
        <v>206.94900000000001</v>
      </c>
      <c r="K108" s="220">
        <f>CALCULO_BDI_DESONERADO!D$25</f>
        <v>0.24717567842364541</v>
      </c>
      <c r="L108" s="394">
        <f>ROUND(J108*(1+K108),2)</f>
        <v>258.10000000000002</v>
      </c>
      <c r="M108" s="221">
        <f t="shared" si="39"/>
        <v>6.1895363118824142E-4</v>
      </c>
      <c r="N108" s="304">
        <f t="shared" si="50"/>
        <v>206.94900000000001</v>
      </c>
    </row>
    <row r="109" spans="1:14" s="305" customFormat="1" ht="30.75" customHeight="1">
      <c r="A109" s="261">
        <v>261001</v>
      </c>
      <c r="B109" s="389" t="s">
        <v>38</v>
      </c>
      <c r="C109" s="390" t="s">
        <v>359</v>
      </c>
      <c r="D109" s="389" t="s">
        <v>45</v>
      </c>
      <c r="E109" s="391">
        <v>12.86</v>
      </c>
      <c r="F109" s="392">
        <v>3.91</v>
      </c>
      <c r="G109" s="393">
        <f>F109*E109</f>
        <v>50.282600000000002</v>
      </c>
      <c r="H109" s="392">
        <v>6.87</v>
      </c>
      <c r="I109" s="393">
        <f>H109*E109</f>
        <v>88.348199999999991</v>
      </c>
      <c r="J109" s="394">
        <f>G109+I109</f>
        <v>138.63079999999999</v>
      </c>
      <c r="K109" s="220">
        <f>CALCULO_BDI_DESONERADO!D$25</f>
        <v>0.24717567842364541</v>
      </c>
      <c r="L109" s="394">
        <f>ROUND(J109*(1+K109),2)</f>
        <v>172.9</v>
      </c>
      <c r="M109" s="221">
        <f t="shared" si="39"/>
        <v>4.1463418377546277E-4</v>
      </c>
      <c r="N109" s="304">
        <f t="shared" si="50"/>
        <v>138.63079999999999</v>
      </c>
    </row>
    <row r="110" spans="1:14" s="305" customFormat="1" ht="15.75" customHeight="1">
      <c r="A110" s="534"/>
      <c r="B110" s="381"/>
      <c r="C110" s="382" t="s">
        <v>55</v>
      </c>
      <c r="D110" s="381"/>
      <c r="E110" s="383"/>
      <c r="F110" s="383"/>
      <c r="G110" s="384"/>
      <c r="H110" s="383"/>
      <c r="I110" s="383"/>
      <c r="J110" s="384">
        <f>SUM(J106:J109)</f>
        <v>1531.7959000000001</v>
      </c>
      <c r="K110" s="384"/>
      <c r="L110" s="384">
        <f>SUM(L106:L109)</f>
        <v>1910.42</v>
      </c>
      <c r="M110" s="395">
        <f t="shared" si="39"/>
        <v>4.5814079662713685E-3</v>
      </c>
      <c r="N110" s="304"/>
    </row>
    <row r="111" spans="1:14" s="305" customFormat="1" ht="15.75" customHeight="1">
      <c r="A111" s="535">
        <v>15</v>
      </c>
      <c r="B111" s="365"/>
      <c r="C111" s="366" t="s">
        <v>360</v>
      </c>
      <c r="D111" s="365"/>
      <c r="E111" s="367"/>
      <c r="F111" s="368"/>
      <c r="G111" s="368"/>
      <c r="H111" s="369"/>
      <c r="I111" s="369"/>
      <c r="J111" s="370"/>
      <c r="K111" s="370"/>
      <c r="L111" s="370"/>
      <c r="M111" s="386"/>
      <c r="N111" s="304"/>
    </row>
    <row r="112" spans="1:14" s="305" customFormat="1" ht="30.75" customHeight="1">
      <c r="A112" s="261">
        <v>270501</v>
      </c>
      <c r="B112" s="389" t="s">
        <v>38</v>
      </c>
      <c r="C112" s="390" t="s">
        <v>44</v>
      </c>
      <c r="D112" s="389" t="s">
        <v>45</v>
      </c>
      <c r="E112" s="391">
        <v>7.35</v>
      </c>
      <c r="F112" s="392">
        <v>1.91</v>
      </c>
      <c r="G112" s="393">
        <f t="shared" ref="G112" si="51">F112*E112</f>
        <v>14.038499999999999</v>
      </c>
      <c r="H112" s="392">
        <v>1.8</v>
      </c>
      <c r="I112" s="393">
        <f t="shared" ref="I112" si="52">H112*E112</f>
        <v>13.23</v>
      </c>
      <c r="J112" s="394">
        <f t="shared" ref="J112" si="53">G112+I112</f>
        <v>27.2685</v>
      </c>
      <c r="K112" s="220">
        <f>CALCULO_BDI_DESONERADO!D$25</f>
        <v>0.24717567842364541</v>
      </c>
      <c r="L112" s="394">
        <f t="shared" ref="L112" si="54">ROUND(J112*(1+K112),2)</f>
        <v>34.01</v>
      </c>
      <c r="M112" s="221">
        <f t="shared" si="39"/>
        <v>8.1559910874514103E-5</v>
      </c>
      <c r="N112" s="304">
        <f t="shared" ref="N112" si="55">J112</f>
        <v>27.2685</v>
      </c>
    </row>
    <row r="113" spans="1:15" s="305" customFormat="1" ht="15.75" customHeight="1">
      <c r="A113" s="381"/>
      <c r="B113" s="381"/>
      <c r="C113" s="382" t="s">
        <v>55</v>
      </c>
      <c r="D113" s="381"/>
      <c r="E113" s="383"/>
      <c r="F113" s="383"/>
      <c r="G113" s="384"/>
      <c r="H113" s="383"/>
      <c r="I113" s="383"/>
      <c r="J113" s="384">
        <f>SUM(J112:J112)</f>
        <v>27.2685</v>
      </c>
      <c r="K113" s="384"/>
      <c r="L113" s="384">
        <f>SUM(L112:L112)</f>
        <v>34.01</v>
      </c>
      <c r="M113" s="395">
        <f t="shared" si="39"/>
        <v>8.1559910874514103E-5</v>
      </c>
      <c r="N113" s="304"/>
    </row>
    <row r="114" spans="1:15" s="308" customFormat="1" ht="15" customHeight="1">
      <c r="A114" s="425"/>
      <c r="B114" s="425"/>
      <c r="C114" s="425"/>
      <c r="D114" s="425"/>
      <c r="E114" s="425"/>
      <c r="F114" s="425"/>
      <c r="G114" s="425"/>
      <c r="H114" s="425"/>
      <c r="I114" s="425"/>
      <c r="J114" s="426" t="s">
        <v>66</v>
      </c>
      <c r="K114" s="426"/>
      <c r="L114" s="426" t="s">
        <v>67</v>
      </c>
      <c r="M114" s="426"/>
      <c r="N114" s="306">
        <f>SUM(N17:N113)</f>
        <v>104319.71010000003</v>
      </c>
      <c r="O114" s="307"/>
    </row>
    <row r="115" spans="1:15" ht="37.5" customHeight="1">
      <c r="A115" s="423" t="s">
        <v>68</v>
      </c>
      <c r="B115" s="423"/>
      <c r="C115" s="423"/>
      <c r="D115" s="423"/>
      <c r="E115" s="423"/>
      <c r="F115" s="423"/>
      <c r="G115" s="423"/>
      <c r="H115" s="423"/>
      <c r="I115" s="423"/>
      <c r="J115" s="309">
        <f>J22+J26+J39+J49+J57+J62+J113+J110+J104+J99+J95+J89+J83+J78</f>
        <v>334892.65384599997</v>
      </c>
      <c r="K115" s="310"/>
      <c r="L115" s="309">
        <f>L22+L26+L39+L49+L57+L62+L113+L110+L104+L99+L95+L89+L83+L78</f>
        <v>416994.07999999996</v>
      </c>
      <c r="M115" s="311">
        <f>SUM(M62,M57,M49,M39,M26,M22,M113,M110,M104,M95,M89,M83,M78,M99)</f>
        <v>1.0000000000000002</v>
      </c>
      <c r="O115" s="312"/>
    </row>
  </sheetData>
  <mergeCells count="35">
    <mergeCell ref="A115:I115"/>
    <mergeCell ref="A28:M28"/>
    <mergeCell ref="A29:M29"/>
    <mergeCell ref="A114:I114"/>
    <mergeCell ref="J114:K114"/>
    <mergeCell ref="L114:M114"/>
    <mergeCell ref="A65:M65"/>
    <mergeCell ref="N13:N14"/>
    <mergeCell ref="A15:M15"/>
    <mergeCell ref="F13:G13"/>
    <mergeCell ref="H13:I13"/>
    <mergeCell ref="J13:J14"/>
    <mergeCell ref="K13:K14"/>
    <mergeCell ref="L13:L14"/>
    <mergeCell ref="A13:A14"/>
    <mergeCell ref="B13:B14"/>
    <mergeCell ref="C13:C14"/>
    <mergeCell ref="D13:D14"/>
    <mergeCell ref="E13:E14"/>
    <mergeCell ref="A64:M64"/>
    <mergeCell ref="A1:M4"/>
    <mergeCell ref="A5:C5"/>
    <mergeCell ref="I5:M5"/>
    <mergeCell ref="A6:C6"/>
    <mergeCell ref="I6:M6"/>
    <mergeCell ref="B8:C8"/>
    <mergeCell ref="D8:E8"/>
    <mergeCell ref="I8:J8"/>
    <mergeCell ref="K8:L8"/>
    <mergeCell ref="B9:C9"/>
    <mergeCell ref="G9:M12"/>
    <mergeCell ref="B10:E10"/>
    <mergeCell ref="B12:C12"/>
    <mergeCell ref="E12:F12"/>
    <mergeCell ref="M13:M14"/>
  </mergeCells>
  <printOptions horizontalCentered="1"/>
  <pageMargins left="0.178472222222222" right="0.196527777777778" top="0.3" bottom="3.8888888888888903E-2" header="0.51180555555555496" footer="0.51180555555555496"/>
  <pageSetup paperSize="9" scale="54" firstPageNumber="0" fitToHeight="0" orientation="landscape" horizontalDpi="300" verticalDpi="300" r:id="rId1"/>
  <colBreaks count="2" manualBreakCount="2">
    <brk id="13" max="1048575" man="1"/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view="pageBreakPreview" topLeftCell="A5" zoomScaleNormal="60" zoomScaleSheetLayoutView="100" zoomScalePageLayoutView="75" workbookViewId="0">
      <selection activeCell="B38" sqref="B38"/>
    </sheetView>
  </sheetViews>
  <sheetFormatPr defaultRowHeight="15"/>
  <cols>
    <col min="1" max="1" width="13.42578125"/>
    <col min="2" max="2" width="66"/>
    <col min="3" max="3" width="19.140625"/>
    <col min="4" max="4" width="23"/>
    <col min="5" max="5" width="24.5703125" bestFit="1" customWidth="1"/>
    <col min="6" max="6" width="13.140625"/>
    <col min="7" max="1006" width="7.7109375"/>
  </cols>
  <sheetData>
    <row r="1" spans="1:6" s="10" customFormat="1" ht="15" hidden="1" customHeight="1">
      <c r="A1" s="435" t="s">
        <v>236</v>
      </c>
      <c r="B1" s="436"/>
      <c r="C1" s="436"/>
      <c r="D1" s="436"/>
      <c r="E1" s="436"/>
      <c r="F1" s="437"/>
    </row>
    <row r="2" spans="1:6">
      <c r="A2" s="438"/>
      <c r="B2" s="439"/>
      <c r="C2" s="439"/>
      <c r="D2" s="439"/>
      <c r="E2" s="439"/>
      <c r="F2" s="440"/>
    </row>
    <row r="3" spans="1:6">
      <c r="A3" s="438"/>
      <c r="B3" s="439"/>
      <c r="C3" s="439"/>
      <c r="D3" s="439"/>
      <c r="E3" s="439"/>
      <c r="F3" s="440"/>
    </row>
    <row r="4" spans="1:6">
      <c r="A4" s="438"/>
      <c r="B4" s="439"/>
      <c r="C4" s="439"/>
      <c r="D4" s="439"/>
      <c r="E4" s="439"/>
      <c r="F4" s="440"/>
    </row>
    <row r="5" spans="1:6" ht="3.6" customHeight="1">
      <c r="A5" s="127"/>
      <c r="B5" s="126"/>
      <c r="C5" s="126"/>
      <c r="D5" s="126"/>
      <c r="E5" s="126"/>
      <c r="F5" s="125"/>
    </row>
    <row r="6" spans="1:6" ht="33.75" customHeight="1">
      <c r="A6" s="137" t="s">
        <v>69</v>
      </c>
      <c r="B6" s="111" t="str">
        <f>DADOS_!D3</f>
        <v>HOSPITALAR</v>
      </c>
      <c r="C6" s="113" t="s">
        <v>19</v>
      </c>
      <c r="D6" s="12">
        <f>DADOS_!D8</f>
        <v>45532</v>
      </c>
      <c r="E6" s="113" t="s">
        <v>70</v>
      </c>
      <c r="F6" s="138" t="s">
        <v>22</v>
      </c>
    </row>
    <row r="7" spans="1:6">
      <c r="A7" s="137" t="s">
        <v>71</v>
      </c>
      <c r="B7" s="441" t="str">
        <f>DADOS_!D4</f>
        <v>MANUTENÇÃO PREDIAL - REFORMA DAS ENFERMARIAS DO 1º PAVIMENTO + ABERTURA DE ESCADA DE EMERGÊNCIA</v>
      </c>
      <c r="C7" s="441"/>
      <c r="D7" s="441"/>
      <c r="E7" s="441"/>
      <c r="F7" s="442"/>
    </row>
    <row r="8" spans="1:6">
      <c r="A8" s="137" t="s">
        <v>72</v>
      </c>
      <c r="B8" s="441" t="str">
        <f>DADOS_!D5</f>
        <v>AV. PERIMETRAL, S/ N., QUADRA 37, LOTE74, SALA 103, SETOR OESTE, GOIÂNIA - GO</v>
      </c>
      <c r="C8" s="441"/>
      <c r="D8" s="441"/>
      <c r="E8" s="441"/>
      <c r="F8" s="442"/>
    </row>
    <row r="9" spans="1:6" ht="17.45" customHeight="1">
      <c r="A9" s="139" t="s">
        <v>73</v>
      </c>
      <c r="B9" s="443" t="str">
        <f>DADOS_!D6</f>
        <v>HOSPITAL ESTADUAL DA MULHER - HEMUI</v>
      </c>
      <c r="C9" s="443"/>
      <c r="D9" s="21" t="s">
        <v>74</v>
      </c>
      <c r="E9" s="22" t="str">
        <f>DADOS_!D7</f>
        <v>02.529.964/0003-19</v>
      </c>
      <c r="F9" s="140"/>
    </row>
    <row r="10" spans="1:6" s="25" customFormat="1" ht="15" customHeight="1">
      <c r="A10" s="444" t="s">
        <v>27</v>
      </c>
      <c r="B10" s="445" t="s">
        <v>75</v>
      </c>
      <c r="C10" s="445"/>
      <c r="D10" s="445"/>
      <c r="E10" s="445"/>
      <c r="F10" s="446"/>
    </row>
    <row r="11" spans="1:6" s="25" customFormat="1" ht="15.75" customHeight="1">
      <c r="A11" s="444"/>
      <c r="B11" s="447"/>
      <c r="C11" s="445"/>
      <c r="D11" s="445"/>
      <c r="E11" s="445"/>
      <c r="F11" s="446"/>
    </row>
    <row r="12" spans="1:6" s="25" customFormat="1" ht="24.2" customHeight="1">
      <c r="A12" s="429" t="s">
        <v>41</v>
      </c>
      <c r="B12" s="430"/>
      <c r="C12" s="430"/>
      <c r="D12" s="430"/>
      <c r="E12" s="430"/>
      <c r="F12" s="431"/>
    </row>
    <row r="13" spans="1:6" s="25" customFormat="1" ht="24.2" customHeight="1">
      <c r="A13" s="432" t="s">
        <v>76</v>
      </c>
      <c r="B13" s="433"/>
      <c r="C13" s="433"/>
      <c r="D13" s="433"/>
      <c r="E13" s="433"/>
      <c r="F13" s="434"/>
    </row>
    <row r="14" spans="1:6" s="25" customFormat="1">
      <c r="A14" s="141"/>
      <c r="B14" s="114"/>
      <c r="C14" s="114"/>
      <c r="D14" s="114"/>
      <c r="E14" s="114"/>
      <c r="F14" s="142"/>
    </row>
    <row r="15" spans="1:6" s="25" customFormat="1" ht="15" customHeight="1">
      <c r="A15" s="143">
        <v>270501</v>
      </c>
      <c r="B15" s="451" t="s">
        <v>44</v>
      </c>
      <c r="C15" s="451"/>
      <c r="D15" s="451"/>
      <c r="E15" s="451"/>
      <c r="F15" s="452"/>
    </row>
    <row r="16" spans="1:6" s="25" customFormat="1">
      <c r="A16" s="144"/>
      <c r="B16" s="145" t="s">
        <v>77</v>
      </c>
      <c r="C16" s="145" t="s">
        <v>45</v>
      </c>
      <c r="D16" s="146"/>
      <c r="E16" s="146"/>
      <c r="F16" s="147"/>
    </row>
    <row r="17" spans="1:6" s="25" customFormat="1">
      <c r="A17" s="148"/>
      <c r="B17" s="32" t="s">
        <v>235</v>
      </c>
      <c r="C17" s="149">
        <f>'MEMORIAL DE CÁLCULOS'!I77</f>
        <v>687.43000000000006</v>
      </c>
      <c r="D17" s="114"/>
      <c r="E17" s="150"/>
      <c r="F17" s="151"/>
    </row>
    <row r="18" spans="1:6" s="25" customFormat="1">
      <c r="A18" s="148"/>
      <c r="B18" s="152"/>
      <c r="C18" s="149"/>
      <c r="D18" s="152"/>
      <c r="E18" s="150"/>
      <c r="F18" s="151"/>
    </row>
    <row r="19" spans="1:6" s="25" customFormat="1">
      <c r="A19" s="148"/>
      <c r="B19" s="153" t="s">
        <v>78</v>
      </c>
      <c r="C19" s="28">
        <f>SUM(C17:C18)</f>
        <v>687.43000000000006</v>
      </c>
      <c r="D19" s="152"/>
      <c r="E19" s="150"/>
      <c r="F19" s="151"/>
    </row>
    <row r="20" spans="1:6" s="25" customFormat="1">
      <c r="A20" s="148"/>
      <c r="B20" s="153"/>
      <c r="C20" s="112"/>
      <c r="D20" s="152"/>
      <c r="E20" s="150"/>
      <c r="F20" s="151"/>
    </row>
    <row r="21" spans="1:6" s="25" customFormat="1" ht="15" customHeight="1">
      <c r="A21" s="154" t="s">
        <v>47</v>
      </c>
      <c r="B21" s="451" t="s">
        <v>48</v>
      </c>
      <c r="C21" s="451"/>
      <c r="D21" s="451"/>
      <c r="E21" s="451"/>
      <c r="F21" s="452"/>
    </row>
    <row r="22" spans="1:6" s="25" customFormat="1">
      <c r="A22" s="148"/>
      <c r="B22" s="153"/>
      <c r="C22" s="112"/>
      <c r="D22" s="152"/>
      <c r="E22" s="150"/>
      <c r="F22" s="151"/>
    </row>
    <row r="23" spans="1:6" s="25" customFormat="1">
      <c r="A23" s="148"/>
      <c r="B23" s="153" t="s">
        <v>79</v>
      </c>
      <c r="C23" s="29">
        <v>12</v>
      </c>
      <c r="D23" s="152"/>
      <c r="E23" s="150"/>
      <c r="F23" s="151"/>
    </row>
    <row r="24" spans="1:6" s="25" customFormat="1">
      <c r="A24" s="148"/>
      <c r="B24" s="153"/>
      <c r="C24" s="112"/>
      <c r="D24" s="152"/>
      <c r="E24" s="150"/>
      <c r="F24" s="151"/>
    </row>
    <row r="25" spans="1:6" s="25" customFormat="1">
      <c r="A25" s="148"/>
      <c r="B25" s="153"/>
      <c r="C25" s="112"/>
      <c r="D25" s="152"/>
      <c r="E25" s="150"/>
      <c r="F25" s="151"/>
    </row>
    <row r="26" spans="1:6" s="25" customFormat="1" ht="24.2" customHeight="1">
      <c r="A26" s="432" t="s">
        <v>80</v>
      </c>
      <c r="B26" s="433"/>
      <c r="C26" s="433"/>
      <c r="D26" s="433"/>
      <c r="E26" s="433"/>
      <c r="F26" s="434"/>
    </row>
    <row r="27" spans="1:6" s="25" customFormat="1" ht="15" customHeight="1">
      <c r="A27" s="155">
        <v>90778</v>
      </c>
      <c r="B27" s="451" t="s">
        <v>81</v>
      </c>
      <c r="C27" s="451"/>
      <c r="D27" s="451"/>
      <c r="E27" s="451"/>
      <c r="F27" s="452"/>
    </row>
    <row r="28" spans="1:6" ht="30" customHeight="1">
      <c r="A28" s="453" t="s">
        <v>82</v>
      </c>
      <c r="B28" s="454"/>
      <c r="C28" s="145" t="s">
        <v>83</v>
      </c>
      <c r="D28" s="145" t="s">
        <v>84</v>
      </c>
      <c r="E28" s="145" t="s">
        <v>85</v>
      </c>
      <c r="F28" s="156" t="s">
        <v>49</v>
      </c>
    </row>
    <row r="29" spans="1:6" ht="15" customHeight="1">
      <c r="A29" s="148"/>
      <c r="B29" s="157" t="s">
        <v>86</v>
      </c>
      <c r="C29" s="150">
        <f>E34</f>
        <v>2640</v>
      </c>
      <c r="D29" s="158">
        <v>0.2</v>
      </c>
      <c r="E29" s="150">
        <f>D29*C29</f>
        <v>528</v>
      </c>
      <c r="F29" s="151">
        <f>C23</f>
        <v>12</v>
      </c>
    </row>
    <row r="30" spans="1:6" ht="15" customHeight="1">
      <c r="A30" s="448" t="s">
        <v>78</v>
      </c>
      <c r="B30" s="449"/>
      <c r="C30" s="449"/>
      <c r="D30" s="449"/>
      <c r="E30" s="29">
        <f>SUM(E29:E29)</f>
        <v>528</v>
      </c>
      <c r="F30" s="159">
        <f>SUM(F29:F29)</f>
        <v>12</v>
      </c>
    </row>
    <row r="31" spans="1:6" ht="15" customHeight="1">
      <c r="A31" s="148"/>
      <c r="B31" s="157"/>
      <c r="C31" s="150"/>
      <c r="D31" s="150"/>
      <c r="E31" s="150"/>
      <c r="F31" s="151"/>
    </row>
    <row r="32" spans="1:6" ht="15" customHeight="1">
      <c r="A32" s="155">
        <v>250103</v>
      </c>
      <c r="B32" s="450" t="s">
        <v>168</v>
      </c>
      <c r="C32" s="451"/>
      <c r="D32" s="451"/>
      <c r="E32" s="451"/>
      <c r="F32" s="452"/>
    </row>
    <row r="33" spans="1:6" ht="26.45" customHeight="1">
      <c r="A33" s="148"/>
      <c r="B33" s="145" t="s">
        <v>87</v>
      </c>
      <c r="C33" s="145" t="s">
        <v>88</v>
      </c>
      <c r="D33" s="145" t="s">
        <v>89</v>
      </c>
      <c r="E33" s="145" t="s">
        <v>85</v>
      </c>
      <c r="F33" s="156" t="s">
        <v>49</v>
      </c>
    </row>
    <row r="34" spans="1:6" ht="15" customHeight="1">
      <c r="A34" s="148"/>
      <c r="B34" s="157" t="s">
        <v>86</v>
      </c>
      <c r="C34" s="150">
        <f>F34*5</f>
        <v>60</v>
      </c>
      <c r="D34" s="150">
        <v>44</v>
      </c>
      <c r="E34" s="150">
        <f>D34*C34</f>
        <v>2640</v>
      </c>
      <c r="F34" s="151">
        <f>C23</f>
        <v>12</v>
      </c>
    </row>
    <row r="35" spans="1:6" ht="15" customHeight="1" thickBot="1">
      <c r="A35" s="427" t="s">
        <v>78</v>
      </c>
      <c r="B35" s="428"/>
      <c r="C35" s="428"/>
      <c r="D35" s="428"/>
      <c r="E35" s="160">
        <f>SUM(E34:E34)</f>
        <v>2640</v>
      </c>
      <c r="F35" s="161">
        <f>SUM(F34:F34)</f>
        <v>12</v>
      </c>
    </row>
  </sheetData>
  <mergeCells count="16">
    <mergeCell ref="A35:D35"/>
    <mergeCell ref="A12:F12"/>
    <mergeCell ref="A13:F13"/>
    <mergeCell ref="A1:F4"/>
    <mergeCell ref="B7:F7"/>
    <mergeCell ref="B8:F8"/>
    <mergeCell ref="B9:C9"/>
    <mergeCell ref="A10:A11"/>
    <mergeCell ref="B10:F11"/>
    <mergeCell ref="A30:D30"/>
    <mergeCell ref="B32:F32"/>
    <mergeCell ref="B15:F15"/>
    <mergeCell ref="B21:F21"/>
    <mergeCell ref="A26:F26"/>
    <mergeCell ref="B27:F27"/>
    <mergeCell ref="A28:B28"/>
  </mergeCells>
  <printOptions horizontalCentered="1"/>
  <pageMargins left="0" right="0" top="0.196527777777778" bottom="0" header="0.51180555555555496" footer="0.51180555555555496"/>
  <pageSetup paperSize="9" scale="5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S82"/>
  <sheetViews>
    <sheetView workbookViewId="0">
      <selection activeCell="G33" sqref="G33:S82"/>
    </sheetView>
  </sheetViews>
  <sheetFormatPr defaultRowHeight="15"/>
  <cols>
    <col min="1" max="1" width="15.42578125" style="9" customWidth="1"/>
    <col min="2" max="2" width="19.140625" style="9" bestFit="1" customWidth="1"/>
    <col min="3" max="3" width="84.42578125" style="108" customWidth="1"/>
    <col min="4" max="4" width="12.140625" style="9" customWidth="1"/>
    <col min="5" max="5" width="19.28515625" style="9" bestFit="1" customWidth="1"/>
    <col min="6" max="6" width="43.5703125" style="109" customWidth="1"/>
    <col min="7" max="7" width="18.28515625" style="9" customWidth="1"/>
    <col min="8" max="8" width="30.7109375" style="9" customWidth="1"/>
    <col min="9" max="9" width="14.140625" style="9" customWidth="1"/>
    <col min="10" max="11" width="16.28515625" style="9" customWidth="1"/>
    <col min="12" max="12" width="17.85546875" style="9" customWidth="1"/>
    <col min="13" max="13" width="18" style="9" customWidth="1"/>
    <col min="14" max="14" width="18.5703125" style="9" customWidth="1"/>
    <col min="15" max="15" width="18.7109375" style="9" customWidth="1"/>
    <col min="16" max="16" width="20.7109375" style="9" customWidth="1"/>
    <col min="17" max="18" width="17.85546875" style="9" customWidth="1"/>
    <col min="19" max="19" width="18.5703125" style="9" customWidth="1"/>
    <col min="20" max="955" width="9.28515625" style="9" customWidth="1"/>
    <col min="956" max="956" width="9.140625" style="110" customWidth="1"/>
    <col min="957" max="16384" width="9.140625" style="110"/>
  </cols>
  <sheetData>
    <row r="1" spans="1:6" s="9" customFormat="1" ht="18" customHeight="1">
      <c r="A1" s="467" t="s">
        <v>27</v>
      </c>
      <c r="B1" s="467" t="s">
        <v>28</v>
      </c>
      <c r="C1" s="467" t="s">
        <v>29</v>
      </c>
      <c r="D1" s="467" t="s">
        <v>30</v>
      </c>
      <c r="E1" s="468" t="s">
        <v>31</v>
      </c>
      <c r="F1" s="465" t="s">
        <v>180</v>
      </c>
    </row>
    <row r="2" spans="1:6" s="9" customFormat="1" ht="18" customHeight="1">
      <c r="A2" s="467"/>
      <c r="B2" s="467"/>
      <c r="C2" s="467"/>
      <c r="D2" s="467"/>
      <c r="E2" s="468"/>
      <c r="F2" s="466"/>
    </row>
    <row r="3" spans="1:6" s="9" customFormat="1" ht="18" customHeight="1">
      <c r="A3" s="82"/>
      <c r="B3" s="82"/>
      <c r="C3" s="83" t="s">
        <v>42</v>
      </c>
      <c r="D3" s="82"/>
      <c r="E3" s="84"/>
      <c r="F3" s="85"/>
    </row>
    <row r="4" spans="1:6" s="9" customFormat="1" ht="30">
      <c r="A4" s="255">
        <v>98458</v>
      </c>
      <c r="B4" s="255" t="s">
        <v>56</v>
      </c>
      <c r="C4" s="256" t="s">
        <v>59</v>
      </c>
      <c r="D4" s="255" t="s">
        <v>45</v>
      </c>
      <c r="E4" s="168">
        <f>4*(1.2*2.2)</f>
        <v>10.56</v>
      </c>
      <c r="F4" s="162" t="s">
        <v>265</v>
      </c>
    </row>
    <row r="5" spans="1:6" s="9" customFormat="1" ht="30">
      <c r="A5" s="255">
        <v>97637</v>
      </c>
      <c r="B5" s="255" t="s">
        <v>56</v>
      </c>
      <c r="C5" s="256" t="s">
        <v>60</v>
      </c>
      <c r="D5" s="260" t="s">
        <v>45</v>
      </c>
      <c r="E5" s="168">
        <f>E4</f>
        <v>10.56</v>
      </c>
      <c r="F5" s="163" t="s">
        <v>266</v>
      </c>
    </row>
    <row r="6" spans="1:6" s="9" customFormat="1" ht="30">
      <c r="A6" s="261">
        <v>104791</v>
      </c>
      <c r="B6" s="261" t="s">
        <v>56</v>
      </c>
      <c r="C6" s="262" t="s">
        <v>238</v>
      </c>
      <c r="D6" s="261" t="s">
        <v>63</v>
      </c>
      <c r="E6" s="317">
        <f>SUM(K37,K39,K41,K43,K45,K47,K49,K51,K53,K55,K63,K67)</f>
        <v>275.09999999999997</v>
      </c>
      <c r="F6" s="163" t="s">
        <v>284</v>
      </c>
    </row>
    <row r="7" spans="1:6" s="9" customFormat="1" ht="30">
      <c r="A7" s="261">
        <v>97634</v>
      </c>
      <c r="B7" s="261" t="s">
        <v>56</v>
      </c>
      <c r="C7" s="262" t="s">
        <v>240</v>
      </c>
      <c r="D7" s="261" t="s">
        <v>63</v>
      </c>
      <c r="E7" s="317">
        <f>SUM(K37,K39,K41,K43,K45,K47,K49,K51,K53,K55,K63,K67)</f>
        <v>275.09999999999997</v>
      </c>
      <c r="F7" s="163" t="s">
        <v>284</v>
      </c>
    </row>
    <row r="8" spans="1:6" s="9" customFormat="1" ht="45">
      <c r="A8" s="261">
        <v>20112</v>
      </c>
      <c r="B8" s="261" t="s">
        <v>38</v>
      </c>
      <c r="C8" s="262" t="s">
        <v>262</v>
      </c>
      <c r="D8" s="261" t="s">
        <v>63</v>
      </c>
      <c r="E8" s="317">
        <f>SUM(I37,I39,I41,I43,I45,I47,I49,I51,I53,I55,I62,I63,I64,I65,I66,I67,I70,I71,I72)</f>
        <v>200.94</v>
      </c>
      <c r="F8" s="163" t="s">
        <v>285</v>
      </c>
    </row>
    <row r="9" spans="1:6" s="9" customFormat="1" ht="30">
      <c r="A9" s="255">
        <v>97644</v>
      </c>
      <c r="B9" s="255" t="s">
        <v>56</v>
      </c>
      <c r="C9" s="256" t="s">
        <v>175</v>
      </c>
      <c r="D9" s="255" t="s">
        <v>63</v>
      </c>
      <c r="E9" s="317">
        <f>S77</f>
        <v>77.700000000000017</v>
      </c>
      <c r="F9" s="163" t="s">
        <v>269</v>
      </c>
    </row>
    <row r="10" spans="1:6" s="9" customFormat="1" ht="30">
      <c r="A10" s="255">
        <v>97645</v>
      </c>
      <c r="B10" s="255" t="s">
        <v>56</v>
      </c>
      <c r="C10" s="256" t="s">
        <v>64</v>
      </c>
      <c r="D10" s="255" t="s">
        <v>63</v>
      </c>
      <c r="E10" s="168">
        <f>Q77</f>
        <v>46.85</v>
      </c>
      <c r="F10" s="163" t="s">
        <v>270</v>
      </c>
    </row>
    <row r="11" spans="1:6" s="9" customFormat="1" ht="28.5">
      <c r="A11" s="255">
        <v>30105</v>
      </c>
      <c r="B11" s="255" t="s">
        <v>38</v>
      </c>
      <c r="C11" s="256" t="s">
        <v>61</v>
      </c>
      <c r="D11" s="255" t="s">
        <v>239</v>
      </c>
      <c r="E11" s="168">
        <f>SUM(E5:E10)*0.1</f>
        <v>88.625000000000014</v>
      </c>
      <c r="F11" s="163" t="s">
        <v>271</v>
      </c>
    </row>
    <row r="12" spans="1:6" s="9" customFormat="1">
      <c r="A12" s="318"/>
      <c r="B12" s="318"/>
      <c r="C12" s="319" t="s">
        <v>264</v>
      </c>
      <c r="D12" s="318"/>
      <c r="E12" s="320"/>
      <c r="F12" s="94"/>
    </row>
    <row r="13" spans="1:6" s="9" customFormat="1" ht="45">
      <c r="A13" s="272">
        <v>87273</v>
      </c>
      <c r="B13" s="272" t="s">
        <v>56</v>
      </c>
      <c r="C13" s="273" t="s">
        <v>241</v>
      </c>
      <c r="D13" s="223" t="s">
        <v>63</v>
      </c>
      <c r="E13" s="169">
        <f>SUM(K37,K39,K41,K43,K45,K47,K49,K51,K53,K55,K63,K67)*1.25</f>
        <v>343.87499999999994</v>
      </c>
      <c r="F13" s="163" t="s">
        <v>287</v>
      </c>
    </row>
    <row r="14" spans="1:6" s="9" customFormat="1" ht="60">
      <c r="A14" s="272">
        <v>87263</v>
      </c>
      <c r="B14" s="272" t="s">
        <v>56</v>
      </c>
      <c r="C14" s="273" t="s">
        <v>263</v>
      </c>
      <c r="D14" s="223" t="s">
        <v>63</v>
      </c>
      <c r="E14" s="169">
        <f>SUM(I37,I39,I41,I43,I45,I47,I49,I51,I53,I55,I62,I63,I64,I65,I66,I67,I70,I71,I72)*1.5</f>
        <v>301.40999999999997</v>
      </c>
      <c r="F14" s="163" t="s">
        <v>286</v>
      </c>
    </row>
    <row r="15" spans="1:6" s="9" customFormat="1" ht="42.75">
      <c r="A15" s="272">
        <v>103323</v>
      </c>
      <c r="B15" s="272" t="s">
        <v>56</v>
      </c>
      <c r="C15" s="273" t="s">
        <v>243</v>
      </c>
      <c r="D15" s="223" t="s">
        <v>63</v>
      </c>
      <c r="E15" s="169">
        <f>R77</f>
        <v>28.125000000000004</v>
      </c>
      <c r="F15" s="163" t="s">
        <v>272</v>
      </c>
    </row>
    <row r="16" spans="1:6" s="9" customFormat="1" ht="30">
      <c r="A16" s="272">
        <v>200502</v>
      </c>
      <c r="B16" s="272" t="s">
        <v>38</v>
      </c>
      <c r="C16" s="273" t="s">
        <v>244</v>
      </c>
      <c r="D16" s="223" t="s">
        <v>63</v>
      </c>
      <c r="E16" s="169">
        <f>R77</f>
        <v>28.125000000000004</v>
      </c>
      <c r="F16" s="163" t="s">
        <v>273</v>
      </c>
    </row>
    <row r="17" spans="1:6" s="9" customFormat="1" ht="30">
      <c r="A17" s="272">
        <v>200505</v>
      </c>
      <c r="B17" s="272" t="s">
        <v>38</v>
      </c>
      <c r="C17" s="273" t="s">
        <v>245</v>
      </c>
      <c r="D17" s="223" t="s">
        <v>63</v>
      </c>
      <c r="E17" s="169">
        <f>R77</f>
        <v>28.125000000000004</v>
      </c>
      <c r="F17" s="163" t="s">
        <v>274</v>
      </c>
    </row>
    <row r="18" spans="1:6" s="9" customFormat="1" ht="30">
      <c r="A18" s="272">
        <v>98689</v>
      </c>
      <c r="B18" s="272" t="s">
        <v>56</v>
      </c>
      <c r="C18" s="273" t="s">
        <v>231</v>
      </c>
      <c r="D18" s="223" t="s">
        <v>230</v>
      </c>
      <c r="E18" s="169">
        <f>(1*O80)+(0.9*N77)</f>
        <v>37</v>
      </c>
      <c r="F18" s="163" t="s">
        <v>276</v>
      </c>
    </row>
    <row r="19" spans="1:6" s="9" customFormat="1" ht="45">
      <c r="A19" s="272">
        <v>101965</v>
      </c>
      <c r="B19" s="272" t="s">
        <v>56</v>
      </c>
      <c r="C19" s="273" t="s">
        <v>232</v>
      </c>
      <c r="D19" s="223" t="s">
        <v>230</v>
      </c>
      <c r="E19" s="169">
        <f>(L77+M77)*1*2</f>
        <v>26</v>
      </c>
      <c r="F19" s="163" t="s">
        <v>277</v>
      </c>
    </row>
    <row r="20" spans="1:6" s="9" customFormat="1" ht="30">
      <c r="A20" s="272">
        <v>240208</v>
      </c>
      <c r="B20" s="272" t="s">
        <v>38</v>
      </c>
      <c r="C20" s="273" t="s">
        <v>246</v>
      </c>
      <c r="D20" s="223" t="s">
        <v>230</v>
      </c>
      <c r="E20" s="169">
        <f>SUM(J36,J38,J40,J42,J44,J46,J48,J50,J52,J54,J56,J58,J60,J62,J66,J68,J73,J75)</f>
        <v>395.8</v>
      </c>
      <c r="F20" s="163" t="s">
        <v>278</v>
      </c>
    </row>
    <row r="21" spans="1:6" s="9" customFormat="1">
      <c r="A21" s="318"/>
      <c r="B21" s="318"/>
      <c r="C21" s="319" t="s">
        <v>65</v>
      </c>
      <c r="D21" s="318"/>
      <c r="E21" s="320"/>
      <c r="F21" s="94"/>
    </row>
    <row r="22" spans="1:6" s="9" customFormat="1" ht="28.5">
      <c r="A22" s="279" t="s">
        <v>248</v>
      </c>
      <c r="B22" s="214" t="s">
        <v>56</v>
      </c>
      <c r="C22" s="280" t="s">
        <v>247</v>
      </c>
      <c r="D22" s="223" t="s">
        <v>43</v>
      </c>
      <c r="E22" s="169">
        <f>0.3*I77</f>
        <v>206.22900000000001</v>
      </c>
      <c r="F22" s="163" t="s">
        <v>279</v>
      </c>
    </row>
    <row r="23" spans="1:6" s="9" customFormat="1" ht="30">
      <c r="A23" s="282" t="s">
        <v>250</v>
      </c>
      <c r="B23" s="214" t="s">
        <v>56</v>
      </c>
      <c r="C23" s="283" t="s">
        <v>249</v>
      </c>
      <c r="D23" s="223" t="s">
        <v>43</v>
      </c>
      <c r="E23" s="169">
        <f>SUM(K36,K38,K40,K42,K44,K46,K48,K50,K52,K54,K56,K58,K60,K62,K64,K65,K66,K68,K70,K71,K72,K73,K75)*0.3</f>
        <v>418.32840000000004</v>
      </c>
      <c r="F23" s="163" t="s">
        <v>280</v>
      </c>
    </row>
    <row r="24" spans="1:6" s="9" customFormat="1" ht="30">
      <c r="A24" s="282" t="s">
        <v>252</v>
      </c>
      <c r="B24" s="214" t="s">
        <v>56</v>
      </c>
      <c r="C24" s="283" t="s">
        <v>251</v>
      </c>
      <c r="D24" s="223" t="s">
        <v>43</v>
      </c>
      <c r="E24" s="169">
        <f>R77</f>
        <v>28.125000000000004</v>
      </c>
      <c r="F24" s="163" t="s">
        <v>272</v>
      </c>
    </row>
    <row r="25" spans="1:6" s="9" customFormat="1" ht="30">
      <c r="A25" s="255">
        <v>88431</v>
      </c>
      <c r="B25" s="285" t="s">
        <v>38</v>
      </c>
      <c r="C25" s="280" t="s">
        <v>253</v>
      </c>
      <c r="D25" s="255" t="s">
        <v>43</v>
      </c>
      <c r="E25" s="169">
        <f>R77</f>
        <v>28.125000000000004</v>
      </c>
      <c r="F25" s="163" t="s">
        <v>272</v>
      </c>
    </row>
    <row r="26" spans="1:6" s="9" customFormat="1" ht="30">
      <c r="A26" s="255">
        <v>88489</v>
      </c>
      <c r="B26" s="285" t="s">
        <v>56</v>
      </c>
      <c r="C26" s="280" t="s">
        <v>254</v>
      </c>
      <c r="D26" s="255" t="s">
        <v>43</v>
      </c>
      <c r="E26" s="169">
        <f>SUM(K36,K38,K40,K42,K44,K46,K48,K50,K52,K54,K56,K58,K60,K62,K64,K65,K66,K68,K70,K71,K72,K73,K75)</f>
        <v>1394.4280000000001</v>
      </c>
      <c r="F26" s="163" t="s">
        <v>281</v>
      </c>
    </row>
    <row r="27" spans="1:6" s="9" customFormat="1" ht="28.5">
      <c r="A27" s="255">
        <v>88488</v>
      </c>
      <c r="B27" s="285" t="s">
        <v>56</v>
      </c>
      <c r="C27" s="280" t="s">
        <v>255</v>
      </c>
      <c r="D27" s="255" t="s">
        <v>43</v>
      </c>
      <c r="E27" s="169">
        <f>I77</f>
        <v>687.43000000000006</v>
      </c>
      <c r="F27" s="163" t="s">
        <v>282</v>
      </c>
    </row>
    <row r="28" spans="1:6" s="9" customFormat="1">
      <c r="A28" s="318"/>
      <c r="B28" s="318"/>
      <c r="C28" s="319" t="s">
        <v>174</v>
      </c>
      <c r="D28" s="318"/>
      <c r="E28" s="320"/>
      <c r="F28" s="94"/>
    </row>
    <row r="29" spans="1:6" s="9" customFormat="1" ht="28.5">
      <c r="A29" s="299" t="s">
        <v>256</v>
      </c>
      <c r="B29" s="300" t="s">
        <v>56</v>
      </c>
      <c r="C29" s="301" t="s">
        <v>257</v>
      </c>
      <c r="D29" s="302" t="s">
        <v>63</v>
      </c>
      <c r="E29" s="169">
        <f>N82+O82</f>
        <v>75.600000000000009</v>
      </c>
      <c r="F29" s="163" t="s">
        <v>181</v>
      </c>
    </row>
    <row r="30" spans="1:6" s="9" customFormat="1" ht="28.5">
      <c r="A30" s="299" t="s">
        <v>259</v>
      </c>
      <c r="B30" s="300" t="s">
        <v>56</v>
      </c>
      <c r="C30" s="301" t="s">
        <v>258</v>
      </c>
      <c r="D30" s="302" t="s">
        <v>63</v>
      </c>
      <c r="E30" s="169">
        <f>P82</f>
        <v>2.1</v>
      </c>
      <c r="F30" s="163" t="s">
        <v>181</v>
      </c>
    </row>
    <row r="31" spans="1:6" s="9" customFormat="1" ht="28.5">
      <c r="A31" s="299" t="s">
        <v>261</v>
      </c>
      <c r="B31" s="300" t="s">
        <v>38</v>
      </c>
      <c r="C31" s="301" t="s">
        <v>260</v>
      </c>
      <c r="D31" s="223" t="s">
        <v>63</v>
      </c>
      <c r="E31" s="169">
        <f>L82+M82</f>
        <v>17.899999999999999</v>
      </c>
      <c r="F31" s="163" t="s">
        <v>181</v>
      </c>
    </row>
    <row r="32" spans="1:6" ht="15.75" thickBot="1"/>
    <row r="33" spans="7:19" ht="16.5" thickBot="1">
      <c r="H33" s="459" t="s">
        <v>181</v>
      </c>
      <c r="I33" s="460"/>
      <c r="J33" s="460"/>
      <c r="K33" s="460"/>
      <c r="L33" s="460"/>
      <c r="M33" s="460"/>
      <c r="N33" s="460"/>
      <c r="O33" s="460"/>
      <c r="P33" s="460"/>
      <c r="Q33" s="460"/>
      <c r="R33" s="460"/>
      <c r="S33" s="461"/>
    </row>
    <row r="34" spans="7:19" ht="15.75" thickBot="1"/>
    <row r="35" spans="7:19" ht="30.75" thickBot="1">
      <c r="H35" s="86" t="s">
        <v>182</v>
      </c>
      <c r="I35" s="86" t="s">
        <v>183</v>
      </c>
      <c r="J35" s="86" t="s">
        <v>268</v>
      </c>
      <c r="K35" s="86" t="s">
        <v>267</v>
      </c>
      <c r="L35" s="86" t="s">
        <v>184</v>
      </c>
      <c r="M35" s="86" t="s">
        <v>185</v>
      </c>
      <c r="N35" s="86" t="s">
        <v>186</v>
      </c>
      <c r="O35" s="86" t="s">
        <v>187</v>
      </c>
      <c r="P35" s="86" t="s">
        <v>188</v>
      </c>
      <c r="Q35" s="86" t="s">
        <v>189</v>
      </c>
      <c r="R35" s="86" t="s">
        <v>190</v>
      </c>
      <c r="S35" s="86" t="s">
        <v>191</v>
      </c>
    </row>
    <row r="36" spans="7:19" ht="15.75" thickBot="1">
      <c r="G36" s="462" t="s">
        <v>192</v>
      </c>
      <c r="H36" s="87" t="s">
        <v>193</v>
      </c>
      <c r="I36" s="88">
        <v>35.1</v>
      </c>
      <c r="J36" s="88">
        <v>23.7</v>
      </c>
      <c r="K36" s="88">
        <f>J36*2.8</f>
        <v>66.36</v>
      </c>
      <c r="L36" s="88"/>
      <c r="M36" s="88"/>
      <c r="N36" s="88"/>
      <c r="O36" s="88"/>
      <c r="P36" s="88">
        <v>1</v>
      </c>
      <c r="Q36" s="88">
        <f>3*1.5*1</f>
        <v>4.5</v>
      </c>
      <c r="R36" s="88">
        <v>4.5</v>
      </c>
      <c r="S36" s="89">
        <f>1*2.1</f>
        <v>2.1</v>
      </c>
    </row>
    <row r="37" spans="7:19" ht="15.75" thickBot="1">
      <c r="G37" s="463"/>
      <c r="H37" s="90" t="s">
        <v>194</v>
      </c>
      <c r="I37" s="91">
        <v>3.07</v>
      </c>
      <c r="J37" s="91">
        <v>7.95</v>
      </c>
      <c r="K37" s="88">
        <f t="shared" ref="K37:K76" si="0">J37*2.8</f>
        <v>22.259999999999998</v>
      </c>
      <c r="L37" s="91"/>
      <c r="M37" s="91"/>
      <c r="N37" s="91">
        <v>1</v>
      </c>
      <c r="O37" s="91"/>
      <c r="P37" s="91"/>
      <c r="Q37" s="91"/>
      <c r="R37" s="91"/>
      <c r="S37" s="92">
        <f>0.9*2.1</f>
        <v>1.8900000000000001</v>
      </c>
    </row>
    <row r="38" spans="7:19" ht="15.75" thickBot="1">
      <c r="G38" s="463"/>
      <c r="H38" s="90" t="s">
        <v>195</v>
      </c>
      <c r="I38" s="91">
        <v>30.4</v>
      </c>
      <c r="J38" s="91">
        <v>22.6</v>
      </c>
      <c r="K38" s="88">
        <f t="shared" si="0"/>
        <v>63.28</v>
      </c>
      <c r="L38" s="91"/>
      <c r="M38" s="91"/>
      <c r="N38" s="91"/>
      <c r="O38" s="91">
        <v>1</v>
      </c>
      <c r="P38" s="91"/>
      <c r="Q38" s="91"/>
      <c r="R38" s="91"/>
      <c r="S38" s="93">
        <f>1*2.1</f>
        <v>2.1</v>
      </c>
    </row>
    <row r="39" spans="7:19" ht="15.75" thickBot="1">
      <c r="G39" s="463"/>
      <c r="H39" s="90" t="s">
        <v>196</v>
      </c>
      <c r="I39" s="91">
        <v>4.5</v>
      </c>
      <c r="J39" s="91">
        <v>8.5</v>
      </c>
      <c r="K39" s="88">
        <f t="shared" si="0"/>
        <v>23.799999999999997</v>
      </c>
      <c r="L39" s="91"/>
      <c r="M39" s="91"/>
      <c r="N39" s="91">
        <v>1</v>
      </c>
      <c r="O39" s="91"/>
      <c r="P39" s="91"/>
      <c r="Q39" s="91"/>
      <c r="R39" s="91"/>
      <c r="S39" s="92">
        <f>0.9*2.1</f>
        <v>1.8900000000000001</v>
      </c>
    </row>
    <row r="40" spans="7:19" ht="15.75" thickBot="1">
      <c r="G40" s="463"/>
      <c r="H40" s="90" t="s">
        <v>197</v>
      </c>
      <c r="I40" s="91">
        <v>29.94</v>
      </c>
      <c r="J40" s="91">
        <v>23.7</v>
      </c>
      <c r="K40" s="88">
        <f t="shared" si="0"/>
        <v>66.36</v>
      </c>
      <c r="L40" s="91"/>
      <c r="M40" s="91"/>
      <c r="N40" s="91"/>
      <c r="O40" s="91">
        <v>1</v>
      </c>
      <c r="P40" s="91"/>
      <c r="Q40" s="91"/>
      <c r="R40" s="91"/>
      <c r="S40" s="93">
        <f>1*2.1</f>
        <v>2.1</v>
      </c>
    </row>
    <row r="41" spans="7:19" ht="15.75" thickBot="1">
      <c r="G41" s="463"/>
      <c r="H41" s="90" t="s">
        <v>198</v>
      </c>
      <c r="I41" s="91">
        <v>4.5</v>
      </c>
      <c r="J41" s="91">
        <v>8.5</v>
      </c>
      <c r="K41" s="88">
        <f t="shared" si="0"/>
        <v>23.799999999999997</v>
      </c>
      <c r="L41" s="91"/>
      <c r="M41" s="91"/>
      <c r="N41" s="91">
        <v>1</v>
      </c>
      <c r="O41" s="91"/>
      <c r="P41" s="91"/>
      <c r="Q41" s="91"/>
      <c r="R41" s="91"/>
      <c r="S41" s="92">
        <f>0.9*2.1</f>
        <v>1.8900000000000001</v>
      </c>
    </row>
    <row r="42" spans="7:19" ht="15.75" thickBot="1">
      <c r="G42" s="463"/>
      <c r="H42" s="90" t="s">
        <v>199</v>
      </c>
      <c r="I42" s="91">
        <v>34.79</v>
      </c>
      <c r="J42" s="91">
        <v>26.1</v>
      </c>
      <c r="K42" s="88">
        <f t="shared" si="0"/>
        <v>73.08</v>
      </c>
      <c r="L42" s="91"/>
      <c r="M42" s="91"/>
      <c r="N42" s="91"/>
      <c r="O42" s="91">
        <v>1</v>
      </c>
      <c r="P42" s="91"/>
      <c r="Q42" s="91"/>
      <c r="R42" s="91"/>
      <c r="S42" s="93">
        <f>1*2.1</f>
        <v>2.1</v>
      </c>
    </row>
    <row r="43" spans="7:19" ht="15.75" thickBot="1">
      <c r="G43" s="463"/>
      <c r="H43" s="90" t="s">
        <v>200</v>
      </c>
      <c r="I43" s="91">
        <v>3.21</v>
      </c>
      <c r="J43" s="91">
        <v>7.2</v>
      </c>
      <c r="K43" s="88">
        <f t="shared" si="0"/>
        <v>20.16</v>
      </c>
      <c r="L43" s="91"/>
      <c r="M43" s="91"/>
      <c r="N43" s="91">
        <v>1</v>
      </c>
      <c r="O43" s="91"/>
      <c r="P43" s="91"/>
      <c r="Q43" s="91"/>
      <c r="R43" s="91"/>
      <c r="S43" s="92">
        <f>0.9*2.1</f>
        <v>1.8900000000000001</v>
      </c>
    </row>
    <row r="44" spans="7:19" ht="15.75" thickBot="1">
      <c r="G44" s="463"/>
      <c r="H44" s="90" t="s">
        <v>201</v>
      </c>
      <c r="I44" s="91">
        <v>24.08</v>
      </c>
      <c r="J44" s="91">
        <v>20.04</v>
      </c>
      <c r="K44" s="88">
        <f t="shared" si="0"/>
        <v>56.111999999999995</v>
      </c>
      <c r="L44" s="91"/>
      <c r="M44" s="91"/>
      <c r="N44" s="91"/>
      <c r="O44" s="91">
        <v>1</v>
      </c>
      <c r="P44" s="91"/>
      <c r="Q44" s="91"/>
      <c r="R44" s="91"/>
      <c r="S44" s="93">
        <v>2.1</v>
      </c>
    </row>
    <row r="45" spans="7:19" ht="15.75" thickBot="1">
      <c r="G45" s="463"/>
      <c r="H45" s="90" t="s">
        <v>202</v>
      </c>
      <c r="I45" s="91">
        <v>3.51</v>
      </c>
      <c r="J45" s="91">
        <v>8.8000000000000007</v>
      </c>
      <c r="K45" s="88">
        <f t="shared" si="0"/>
        <v>24.64</v>
      </c>
      <c r="L45" s="91"/>
      <c r="M45" s="91"/>
      <c r="N45" s="91">
        <v>1</v>
      </c>
      <c r="O45" s="91"/>
      <c r="P45" s="91"/>
      <c r="Q45" s="91"/>
      <c r="R45" s="91"/>
      <c r="S45" s="92">
        <v>1.8900000000000001</v>
      </c>
    </row>
    <row r="46" spans="7:19" ht="15.75" thickBot="1">
      <c r="G46" s="463"/>
      <c r="H46" s="90" t="s">
        <v>203</v>
      </c>
      <c r="I46" s="91">
        <v>34.79</v>
      </c>
      <c r="J46" s="91">
        <v>26.1</v>
      </c>
      <c r="K46" s="88">
        <f t="shared" si="0"/>
        <v>73.08</v>
      </c>
      <c r="L46" s="91"/>
      <c r="M46" s="91"/>
      <c r="N46" s="91"/>
      <c r="O46" s="91">
        <v>1</v>
      </c>
      <c r="P46" s="91"/>
      <c r="Q46" s="91"/>
      <c r="R46" s="91"/>
      <c r="S46" s="93">
        <f>1*2.1</f>
        <v>2.1</v>
      </c>
    </row>
    <row r="47" spans="7:19" ht="15.75" thickBot="1">
      <c r="G47" s="463"/>
      <c r="H47" s="90" t="s">
        <v>204</v>
      </c>
      <c r="I47" s="91">
        <v>3.21</v>
      </c>
      <c r="J47" s="91">
        <v>7.2</v>
      </c>
      <c r="K47" s="88">
        <f t="shared" si="0"/>
        <v>20.16</v>
      </c>
      <c r="L47" s="91"/>
      <c r="M47" s="91"/>
      <c r="N47" s="91">
        <v>1</v>
      </c>
      <c r="O47" s="91"/>
      <c r="P47" s="91"/>
      <c r="Q47" s="91"/>
      <c r="R47" s="91"/>
      <c r="S47" s="92">
        <f>0.9*2.1</f>
        <v>1.8900000000000001</v>
      </c>
    </row>
    <row r="48" spans="7:19" ht="15.75" thickBot="1">
      <c r="G48" s="463"/>
      <c r="H48" s="90" t="s">
        <v>205</v>
      </c>
      <c r="I48" s="91">
        <v>34.92</v>
      </c>
      <c r="J48" s="91">
        <v>24.9</v>
      </c>
      <c r="K48" s="88">
        <f t="shared" si="0"/>
        <v>69.719999999999985</v>
      </c>
      <c r="L48" s="91"/>
      <c r="M48" s="91"/>
      <c r="N48" s="91"/>
      <c r="O48" s="91">
        <v>1</v>
      </c>
      <c r="P48" s="91"/>
      <c r="Q48" s="91"/>
      <c r="R48" s="91"/>
      <c r="S48" s="93">
        <v>2.1</v>
      </c>
    </row>
    <row r="49" spans="7:19" ht="15.75" thickBot="1">
      <c r="G49" s="463"/>
      <c r="H49" s="90" t="s">
        <v>206</v>
      </c>
      <c r="I49" s="91">
        <v>3.21</v>
      </c>
      <c r="J49" s="91">
        <v>7.2</v>
      </c>
      <c r="K49" s="88">
        <f t="shared" si="0"/>
        <v>20.16</v>
      </c>
      <c r="L49" s="91"/>
      <c r="M49" s="91"/>
      <c r="N49" s="91">
        <v>1</v>
      </c>
      <c r="O49" s="91"/>
      <c r="P49" s="91"/>
      <c r="Q49" s="91"/>
      <c r="R49" s="91"/>
      <c r="S49" s="92">
        <v>1.8900000000000001</v>
      </c>
    </row>
    <row r="50" spans="7:19" ht="15.75" thickBot="1">
      <c r="G50" s="463"/>
      <c r="H50" s="90" t="s">
        <v>207</v>
      </c>
      <c r="I50" s="91">
        <v>34.92</v>
      </c>
      <c r="J50" s="91">
        <v>24.9</v>
      </c>
      <c r="K50" s="88">
        <f t="shared" si="0"/>
        <v>69.719999999999985</v>
      </c>
      <c r="L50" s="91"/>
      <c r="M50" s="91"/>
      <c r="N50" s="91"/>
      <c r="O50" s="91">
        <v>1</v>
      </c>
      <c r="P50" s="91"/>
      <c r="Q50" s="91"/>
      <c r="R50" s="91"/>
      <c r="S50" s="93">
        <v>2.1</v>
      </c>
    </row>
    <row r="51" spans="7:19" ht="15.75" thickBot="1">
      <c r="G51" s="463"/>
      <c r="H51" s="90" t="s">
        <v>208</v>
      </c>
      <c r="I51" s="91">
        <v>3.21</v>
      </c>
      <c r="J51" s="91">
        <v>7.2</v>
      </c>
      <c r="K51" s="88">
        <f t="shared" si="0"/>
        <v>20.16</v>
      </c>
      <c r="L51" s="91"/>
      <c r="M51" s="91"/>
      <c r="N51" s="91">
        <v>1</v>
      </c>
      <c r="O51" s="91"/>
      <c r="P51" s="91"/>
      <c r="Q51" s="91"/>
      <c r="R51" s="91"/>
      <c r="S51" s="92">
        <v>1.8900000000000001</v>
      </c>
    </row>
    <row r="52" spans="7:19" ht="15.75" thickBot="1">
      <c r="G52" s="463"/>
      <c r="H52" s="90" t="s">
        <v>209</v>
      </c>
      <c r="I52" s="91">
        <v>13.8</v>
      </c>
      <c r="J52" s="91">
        <v>14.9</v>
      </c>
      <c r="K52" s="88">
        <f t="shared" si="0"/>
        <v>41.72</v>
      </c>
      <c r="L52" s="91"/>
      <c r="M52" s="91"/>
      <c r="N52" s="91"/>
      <c r="O52" s="91">
        <v>1</v>
      </c>
      <c r="P52" s="91"/>
      <c r="Q52" s="91"/>
      <c r="R52" s="91"/>
      <c r="S52" s="93">
        <v>2.1</v>
      </c>
    </row>
    <row r="53" spans="7:19" ht="15.75" thickBot="1">
      <c r="G53" s="463"/>
      <c r="H53" s="90" t="s">
        <v>210</v>
      </c>
      <c r="I53" s="91">
        <v>3.57</v>
      </c>
      <c r="J53" s="91">
        <v>8.9</v>
      </c>
      <c r="K53" s="88">
        <f t="shared" si="0"/>
        <v>24.919999999999998</v>
      </c>
      <c r="L53" s="91"/>
      <c r="M53" s="91"/>
      <c r="N53" s="91">
        <v>1</v>
      </c>
      <c r="O53" s="91"/>
      <c r="P53" s="91"/>
      <c r="Q53" s="91"/>
      <c r="R53" s="91"/>
      <c r="S53" s="92">
        <v>1.8900000000000001</v>
      </c>
    </row>
    <row r="54" spans="7:19" ht="15.75" thickBot="1">
      <c r="G54" s="463"/>
      <c r="H54" s="90" t="s">
        <v>211</v>
      </c>
      <c r="I54" s="91">
        <v>13.8</v>
      </c>
      <c r="J54" s="91">
        <v>14.9</v>
      </c>
      <c r="K54" s="88">
        <f t="shared" si="0"/>
        <v>41.72</v>
      </c>
      <c r="L54" s="91"/>
      <c r="M54" s="91"/>
      <c r="N54" s="91"/>
      <c r="O54" s="91">
        <v>1</v>
      </c>
      <c r="P54" s="91"/>
      <c r="Q54" s="91"/>
      <c r="R54" s="91"/>
      <c r="S54" s="93">
        <v>2.1</v>
      </c>
    </row>
    <row r="55" spans="7:19" ht="15.75" thickBot="1">
      <c r="G55" s="464"/>
      <c r="H55" s="95" t="s">
        <v>212</v>
      </c>
      <c r="I55" s="96">
        <v>3.21</v>
      </c>
      <c r="J55" s="96">
        <v>8.9</v>
      </c>
      <c r="K55" s="88">
        <f t="shared" si="0"/>
        <v>24.919999999999998</v>
      </c>
      <c r="L55" s="96"/>
      <c r="M55" s="96"/>
      <c r="N55" s="96">
        <v>1</v>
      </c>
      <c r="O55" s="96"/>
      <c r="P55" s="96"/>
      <c r="Q55" s="96"/>
      <c r="R55" s="96"/>
      <c r="S55" s="97">
        <v>1.8900000000000001</v>
      </c>
    </row>
    <row r="56" spans="7:19" ht="15.75" thickBot="1">
      <c r="G56" s="462" t="s">
        <v>213</v>
      </c>
      <c r="H56" s="164" t="s">
        <v>214</v>
      </c>
      <c r="I56" s="166">
        <v>23.4</v>
      </c>
      <c r="J56" s="166">
        <v>19.7</v>
      </c>
      <c r="K56" s="166">
        <f t="shared" si="0"/>
        <v>55.16</v>
      </c>
      <c r="L56" s="98"/>
      <c r="M56" s="98"/>
      <c r="N56" s="98"/>
      <c r="O56" s="98">
        <v>1</v>
      </c>
      <c r="P56" s="98"/>
      <c r="Q56" s="98"/>
      <c r="R56" s="98"/>
      <c r="S56" s="99">
        <v>2.1</v>
      </c>
    </row>
    <row r="57" spans="7:19" ht="15.75" thickBot="1">
      <c r="G57" s="463"/>
      <c r="H57" s="165" t="s">
        <v>215</v>
      </c>
      <c r="I57" s="167">
        <v>4.9000000000000004</v>
      </c>
      <c r="J57" s="167">
        <v>8.9</v>
      </c>
      <c r="K57" s="166">
        <f t="shared" si="0"/>
        <v>24.919999999999998</v>
      </c>
      <c r="L57" s="101"/>
      <c r="M57" s="101"/>
      <c r="N57" s="101">
        <v>1</v>
      </c>
      <c r="O57" s="101"/>
      <c r="P57" s="101"/>
      <c r="Q57" s="101"/>
      <c r="R57" s="101"/>
      <c r="S57" s="102">
        <v>1.89</v>
      </c>
    </row>
    <row r="58" spans="7:19" ht="15.75" thickBot="1">
      <c r="G58" s="463"/>
      <c r="H58" s="165" t="s">
        <v>172</v>
      </c>
      <c r="I58" s="167">
        <v>35.1</v>
      </c>
      <c r="J58" s="167">
        <v>23.79</v>
      </c>
      <c r="K58" s="166">
        <f t="shared" si="0"/>
        <v>66.611999999999995</v>
      </c>
      <c r="L58" s="101"/>
      <c r="M58" s="101"/>
      <c r="N58" s="101"/>
      <c r="O58" s="101">
        <v>1</v>
      </c>
      <c r="P58" s="101"/>
      <c r="Q58" s="101"/>
      <c r="R58" s="101"/>
      <c r="S58" s="102">
        <v>2.1</v>
      </c>
    </row>
    <row r="59" spans="7:19" ht="15.75" thickBot="1">
      <c r="G59" s="463"/>
      <c r="H59" s="165" t="s">
        <v>216</v>
      </c>
      <c r="I59" s="167">
        <v>3.09</v>
      </c>
      <c r="J59" s="167">
        <v>8</v>
      </c>
      <c r="K59" s="166">
        <f t="shared" si="0"/>
        <v>22.4</v>
      </c>
      <c r="L59" s="101"/>
      <c r="M59" s="101"/>
      <c r="N59" s="101"/>
      <c r="O59" s="101"/>
      <c r="P59" s="101"/>
      <c r="Q59" s="101"/>
      <c r="R59" s="101"/>
      <c r="S59" s="102"/>
    </row>
    <row r="60" spans="7:19" ht="15.75" thickBot="1">
      <c r="G60" s="463"/>
      <c r="H60" s="165" t="s">
        <v>217</v>
      </c>
      <c r="I60" s="167">
        <v>35.1</v>
      </c>
      <c r="J60" s="167">
        <v>23.79</v>
      </c>
      <c r="K60" s="166">
        <f t="shared" si="0"/>
        <v>66.611999999999995</v>
      </c>
      <c r="L60" s="101"/>
      <c r="M60" s="101"/>
      <c r="N60" s="101"/>
      <c r="O60" s="101">
        <v>1</v>
      </c>
      <c r="P60" s="101"/>
      <c r="Q60" s="101"/>
      <c r="R60" s="101"/>
      <c r="S60" s="102">
        <v>2.1</v>
      </c>
    </row>
    <row r="61" spans="7:19" ht="15.75" thickBot="1">
      <c r="G61" s="463"/>
      <c r="H61" s="165" t="s">
        <v>218</v>
      </c>
      <c r="I61" s="167">
        <v>3.04</v>
      </c>
      <c r="J61" s="167">
        <v>8</v>
      </c>
      <c r="K61" s="166">
        <f t="shared" si="0"/>
        <v>22.4</v>
      </c>
      <c r="L61" s="101"/>
      <c r="M61" s="101"/>
      <c r="N61" s="101"/>
      <c r="O61" s="101"/>
      <c r="P61" s="101"/>
      <c r="Q61" s="101"/>
      <c r="R61" s="101"/>
      <c r="S61" s="102"/>
    </row>
    <row r="62" spans="7:19" ht="15.75" thickBot="1">
      <c r="G62" s="463"/>
      <c r="H62" s="100" t="s">
        <v>219</v>
      </c>
      <c r="I62" s="101">
        <v>35.1</v>
      </c>
      <c r="J62" s="101">
        <v>23.79</v>
      </c>
      <c r="K62" s="98">
        <f t="shared" si="0"/>
        <v>66.611999999999995</v>
      </c>
      <c r="L62" s="101">
        <v>2</v>
      </c>
      <c r="M62" s="101"/>
      <c r="N62" s="101"/>
      <c r="O62" s="101">
        <v>1</v>
      </c>
      <c r="P62" s="103"/>
      <c r="Q62" s="101">
        <f>(1.05*1.5)*5</f>
        <v>7.8750000000000009</v>
      </c>
      <c r="R62" s="101">
        <f>(1.05*1.5)*3</f>
        <v>4.7250000000000005</v>
      </c>
      <c r="S62" s="102">
        <f>1*2.1</f>
        <v>2.1</v>
      </c>
    </row>
    <row r="63" spans="7:19" ht="15.75" thickBot="1">
      <c r="G63" s="463"/>
      <c r="H63" s="100" t="s">
        <v>220</v>
      </c>
      <c r="I63" s="101">
        <v>2.99</v>
      </c>
      <c r="J63" s="101">
        <v>7.8</v>
      </c>
      <c r="K63" s="98">
        <f t="shared" si="0"/>
        <v>21.84</v>
      </c>
      <c r="L63" s="101"/>
      <c r="M63" s="101">
        <v>1</v>
      </c>
      <c r="N63" s="101">
        <v>1</v>
      </c>
      <c r="O63" s="101"/>
      <c r="P63" s="101"/>
      <c r="Q63" s="101">
        <f>1*0.7</f>
        <v>0.7</v>
      </c>
      <c r="R63" s="101"/>
      <c r="S63" s="102">
        <v>1.89</v>
      </c>
    </row>
    <row r="64" spans="7:19" ht="15.75" thickBot="1">
      <c r="G64" s="463"/>
      <c r="H64" s="100" t="s">
        <v>171</v>
      </c>
      <c r="I64" s="101">
        <v>35.1</v>
      </c>
      <c r="J64" s="101">
        <v>23.79</v>
      </c>
      <c r="K64" s="98">
        <f t="shared" si="0"/>
        <v>66.611999999999995</v>
      </c>
      <c r="L64" s="101">
        <v>2</v>
      </c>
      <c r="M64" s="101"/>
      <c r="N64" s="101">
        <v>1</v>
      </c>
      <c r="O64" s="101"/>
      <c r="P64" s="101"/>
      <c r="Q64" s="101">
        <f>(1.05*1.5)*5</f>
        <v>7.8750000000000009</v>
      </c>
      <c r="R64" s="101">
        <f>(1.05*1.5)*3</f>
        <v>4.7250000000000005</v>
      </c>
      <c r="S64" s="102">
        <v>1.89</v>
      </c>
    </row>
    <row r="65" spans="7:19" ht="15.75" thickBot="1">
      <c r="G65" s="463"/>
      <c r="H65" s="100" t="s">
        <v>221</v>
      </c>
      <c r="I65" s="101">
        <v>13.26</v>
      </c>
      <c r="J65" s="101">
        <v>19.329999999999998</v>
      </c>
      <c r="K65" s="98">
        <f t="shared" si="0"/>
        <v>54.123999999999995</v>
      </c>
      <c r="L65" s="101">
        <v>1</v>
      </c>
      <c r="M65" s="101"/>
      <c r="N65" s="101">
        <v>1</v>
      </c>
      <c r="O65" s="101">
        <v>1</v>
      </c>
      <c r="P65" s="101"/>
      <c r="Q65" s="101">
        <f>(1.05*1.5)*2</f>
        <v>3.1500000000000004</v>
      </c>
      <c r="R65" s="101">
        <f>(1.05*1.5)*1</f>
        <v>1.5750000000000002</v>
      </c>
      <c r="S65" s="102">
        <f>2.1+1.89</f>
        <v>3.99</v>
      </c>
    </row>
    <row r="66" spans="7:19" ht="15.75" thickBot="1">
      <c r="G66" s="463"/>
      <c r="H66" s="176" t="s">
        <v>173</v>
      </c>
      <c r="I66" s="178">
        <v>23.4</v>
      </c>
      <c r="J66" s="178">
        <v>19.7</v>
      </c>
      <c r="K66" s="179">
        <f t="shared" si="0"/>
        <v>55.16</v>
      </c>
      <c r="L66" s="101">
        <v>2</v>
      </c>
      <c r="M66" s="101"/>
      <c r="N66" s="101"/>
      <c r="O66" s="101">
        <v>1</v>
      </c>
      <c r="P66" s="101"/>
      <c r="Q66" s="101">
        <f>(1.05*1.5)*5</f>
        <v>7.8750000000000009</v>
      </c>
      <c r="R66" s="101">
        <f>(1.05*1.5)*3</f>
        <v>4.7250000000000005</v>
      </c>
      <c r="S66" s="102">
        <f>1*2.1</f>
        <v>2.1</v>
      </c>
    </row>
    <row r="67" spans="7:19" ht="15.75" thickBot="1">
      <c r="G67" s="463"/>
      <c r="H67" s="176" t="s">
        <v>222</v>
      </c>
      <c r="I67" s="178">
        <v>4.2</v>
      </c>
      <c r="J67" s="178">
        <v>10.1</v>
      </c>
      <c r="K67" s="179">
        <f t="shared" si="0"/>
        <v>28.279999999999998</v>
      </c>
      <c r="L67" s="101"/>
      <c r="M67" s="101">
        <v>1</v>
      </c>
      <c r="N67" s="101">
        <v>1</v>
      </c>
      <c r="O67" s="101"/>
      <c r="P67" s="101"/>
      <c r="Q67" s="101">
        <f>1*0.7</f>
        <v>0.7</v>
      </c>
      <c r="R67" s="101"/>
      <c r="S67" s="102">
        <v>1.89</v>
      </c>
    </row>
    <row r="68" spans="7:19" ht="15.75" thickBot="1">
      <c r="G68" s="463"/>
      <c r="H68" s="165" t="s">
        <v>223</v>
      </c>
      <c r="I68" s="167">
        <v>23.4</v>
      </c>
      <c r="J68" s="167">
        <v>19.7</v>
      </c>
      <c r="K68" s="166">
        <f t="shared" si="0"/>
        <v>55.16</v>
      </c>
      <c r="L68" s="101"/>
      <c r="M68" s="101"/>
      <c r="N68" s="101"/>
      <c r="O68" s="101">
        <v>1</v>
      </c>
      <c r="P68" s="101"/>
      <c r="Q68" s="101"/>
      <c r="R68" s="101"/>
      <c r="S68" s="102">
        <f>1*2.1</f>
        <v>2.1</v>
      </c>
    </row>
    <row r="69" spans="7:19" ht="15.75" thickBot="1">
      <c r="G69" s="463"/>
      <c r="H69" s="165" t="s">
        <v>224</v>
      </c>
      <c r="I69" s="167">
        <v>4.2</v>
      </c>
      <c r="J69" s="167">
        <v>10.1</v>
      </c>
      <c r="K69" s="166">
        <f t="shared" si="0"/>
        <v>28.279999999999998</v>
      </c>
      <c r="L69" s="101"/>
      <c r="M69" s="101"/>
      <c r="N69" s="101">
        <v>1</v>
      </c>
      <c r="O69" s="101"/>
      <c r="P69" s="101"/>
      <c r="Q69" s="101"/>
      <c r="R69" s="101"/>
      <c r="S69" s="102">
        <v>1.89</v>
      </c>
    </row>
    <row r="70" spans="7:19" ht="15.75" thickBot="1">
      <c r="G70" s="463"/>
      <c r="H70" s="100" t="s">
        <v>170</v>
      </c>
      <c r="I70" s="101">
        <v>25.22</v>
      </c>
      <c r="J70" s="101">
        <v>20.420000000000002</v>
      </c>
      <c r="K70" s="98">
        <f t="shared" si="0"/>
        <v>57.176000000000002</v>
      </c>
      <c r="L70" s="101">
        <v>2</v>
      </c>
      <c r="M70" s="101"/>
      <c r="N70" s="101">
        <v>1</v>
      </c>
      <c r="O70" s="101"/>
      <c r="P70" s="101"/>
      <c r="Q70" s="101">
        <f>(1.05*1.5)*5</f>
        <v>7.8750000000000009</v>
      </c>
      <c r="R70" s="101">
        <f>(1.05*1.5)*3</f>
        <v>4.7250000000000005</v>
      </c>
      <c r="S70" s="102">
        <v>1.89</v>
      </c>
    </row>
    <row r="71" spans="7:19" ht="15.75" thickBot="1">
      <c r="G71" s="463"/>
      <c r="H71" s="100" t="s">
        <v>225</v>
      </c>
      <c r="I71" s="101">
        <v>13.18</v>
      </c>
      <c r="J71" s="101">
        <v>19.32</v>
      </c>
      <c r="K71" s="98">
        <f t="shared" si="0"/>
        <v>54.095999999999997</v>
      </c>
      <c r="L71" s="101">
        <v>1</v>
      </c>
      <c r="M71" s="101"/>
      <c r="N71" s="101">
        <v>1</v>
      </c>
      <c r="O71" s="101"/>
      <c r="P71" s="101"/>
      <c r="Q71" s="101">
        <f>(1.05*1.5)*2</f>
        <v>3.1500000000000004</v>
      </c>
      <c r="R71" s="101">
        <f>(1.05*1.5)*1</f>
        <v>1.5750000000000002</v>
      </c>
      <c r="S71" s="102">
        <v>1.89</v>
      </c>
    </row>
    <row r="72" spans="7:19" ht="15.75" thickBot="1">
      <c r="G72" s="463"/>
      <c r="H72" s="100" t="s">
        <v>226</v>
      </c>
      <c r="I72" s="101">
        <v>13.29</v>
      </c>
      <c r="J72" s="101">
        <v>19.350000000000001</v>
      </c>
      <c r="K72" s="98">
        <f t="shared" si="0"/>
        <v>54.18</v>
      </c>
      <c r="L72" s="101">
        <v>1</v>
      </c>
      <c r="M72" s="101"/>
      <c r="N72" s="101">
        <v>1</v>
      </c>
      <c r="O72" s="101"/>
      <c r="P72" s="101"/>
      <c r="Q72" s="101">
        <f>(1.05*1.5)*2</f>
        <v>3.1500000000000004</v>
      </c>
      <c r="R72" s="101">
        <f>(1.05*1.5)*1</f>
        <v>1.5750000000000002</v>
      </c>
      <c r="S72" s="102">
        <v>1.89</v>
      </c>
    </row>
    <row r="73" spans="7:19" ht="15.75" thickBot="1">
      <c r="G73" s="463"/>
      <c r="H73" s="165" t="s">
        <v>169</v>
      </c>
      <c r="I73" s="167">
        <v>35.1</v>
      </c>
      <c r="J73" s="167">
        <v>23.79</v>
      </c>
      <c r="K73" s="166">
        <f t="shared" si="0"/>
        <v>66.611999999999995</v>
      </c>
      <c r="L73" s="101"/>
      <c r="M73" s="101"/>
      <c r="N73" s="101"/>
      <c r="O73" s="101">
        <v>1</v>
      </c>
      <c r="P73" s="101"/>
      <c r="Q73" s="101"/>
      <c r="R73" s="101"/>
      <c r="S73" s="102">
        <f>1*2.1</f>
        <v>2.1</v>
      </c>
    </row>
    <row r="74" spans="7:19" ht="15.75" thickBot="1">
      <c r="G74" s="463"/>
      <c r="H74" s="165" t="s">
        <v>227</v>
      </c>
      <c r="I74" s="167">
        <v>6.14</v>
      </c>
      <c r="J74" s="167">
        <v>16.2</v>
      </c>
      <c r="K74" s="166">
        <f t="shared" si="0"/>
        <v>45.359999999999992</v>
      </c>
      <c r="L74" s="101"/>
      <c r="M74" s="101"/>
      <c r="N74" s="101"/>
      <c r="O74" s="101"/>
      <c r="P74" s="101"/>
      <c r="Q74" s="101"/>
      <c r="R74" s="101"/>
      <c r="S74" s="102"/>
    </row>
    <row r="75" spans="7:19" ht="15.75" thickBot="1">
      <c r="G75" s="463"/>
      <c r="H75" s="165" t="s">
        <v>228</v>
      </c>
      <c r="I75" s="167">
        <v>23.4</v>
      </c>
      <c r="J75" s="167">
        <v>19.7</v>
      </c>
      <c r="K75" s="166">
        <f t="shared" si="0"/>
        <v>55.16</v>
      </c>
      <c r="L75" s="101"/>
      <c r="M75" s="101"/>
      <c r="N75" s="101"/>
      <c r="O75" s="101">
        <v>1</v>
      </c>
      <c r="P75" s="101"/>
      <c r="Q75" s="101"/>
      <c r="R75" s="101"/>
      <c r="S75" s="102">
        <f>1*2.1</f>
        <v>2.1</v>
      </c>
    </row>
    <row r="76" spans="7:19" ht="15.75" thickBot="1">
      <c r="G76" s="464"/>
      <c r="H76" s="177" t="s">
        <v>229</v>
      </c>
      <c r="I76" s="180">
        <v>3.08</v>
      </c>
      <c r="J76" s="180">
        <v>7.98</v>
      </c>
      <c r="K76" s="166">
        <f t="shared" si="0"/>
        <v>22.344000000000001</v>
      </c>
      <c r="L76" s="104"/>
      <c r="M76" s="104"/>
      <c r="N76" s="104">
        <v>1</v>
      </c>
      <c r="O76" s="104"/>
      <c r="P76" s="104"/>
      <c r="Q76" s="104"/>
      <c r="R76" s="104"/>
      <c r="S76" s="105">
        <v>1.89</v>
      </c>
    </row>
    <row r="77" spans="7:19" ht="16.5" thickBot="1">
      <c r="H77" s="106" t="s">
        <v>90</v>
      </c>
      <c r="I77" s="107">
        <f t="shared" ref="I77:S77" si="1">SUM(I36:I76)</f>
        <v>687.43000000000006</v>
      </c>
      <c r="J77" s="107">
        <f t="shared" si="1"/>
        <v>655.44</v>
      </c>
      <c r="K77" s="107">
        <f t="shared" si="1"/>
        <v>1835.2320000000002</v>
      </c>
      <c r="L77" s="107">
        <f t="shared" si="1"/>
        <v>11</v>
      </c>
      <c r="M77" s="107">
        <f t="shared" si="1"/>
        <v>2</v>
      </c>
      <c r="N77" s="107">
        <f t="shared" si="1"/>
        <v>20</v>
      </c>
      <c r="O77" s="107">
        <f t="shared" si="1"/>
        <v>18</v>
      </c>
      <c r="P77" s="107">
        <f t="shared" si="1"/>
        <v>1</v>
      </c>
      <c r="Q77" s="107">
        <f t="shared" si="1"/>
        <v>46.85</v>
      </c>
      <c r="R77" s="107">
        <f t="shared" si="1"/>
        <v>28.125000000000004</v>
      </c>
      <c r="S77" s="107">
        <f t="shared" si="1"/>
        <v>77.700000000000017</v>
      </c>
    </row>
    <row r="78" spans="7:19" ht="15.75" thickBot="1"/>
    <row r="79" spans="7:19" ht="30" customHeight="1">
      <c r="O79" s="455" t="s">
        <v>275</v>
      </c>
      <c r="P79" s="456"/>
    </row>
    <row r="80" spans="7:19" ht="15.75" thickBot="1">
      <c r="O80" s="457">
        <f>SUM(O77+P77)</f>
        <v>19</v>
      </c>
      <c r="P80" s="458"/>
    </row>
    <row r="81" spans="12:16">
      <c r="L81" s="170" t="s">
        <v>283</v>
      </c>
      <c r="M81" s="171" t="s">
        <v>283</v>
      </c>
      <c r="N81" s="170" t="s">
        <v>283</v>
      </c>
      <c r="O81" s="171" t="s">
        <v>283</v>
      </c>
      <c r="P81" s="172" t="s">
        <v>283</v>
      </c>
    </row>
    <row r="82" spans="12:16" ht="15.75" thickBot="1">
      <c r="L82" s="173">
        <f>L77*1*1.5</f>
        <v>16.5</v>
      </c>
      <c r="M82" s="174">
        <f>M77*0.7*1</f>
        <v>1.4</v>
      </c>
      <c r="N82" s="173">
        <f>N77*0.9*2.1</f>
        <v>37.800000000000004</v>
      </c>
      <c r="O82" s="174">
        <f>O77*1*2.1</f>
        <v>37.800000000000004</v>
      </c>
      <c r="P82" s="175">
        <f>P77*1*2.1</f>
        <v>2.1</v>
      </c>
    </row>
  </sheetData>
  <mergeCells count="11">
    <mergeCell ref="F1:F2"/>
    <mergeCell ref="A1:A2"/>
    <mergeCell ref="B1:B2"/>
    <mergeCell ref="C1:C2"/>
    <mergeCell ref="D1:D2"/>
    <mergeCell ref="E1:E2"/>
    <mergeCell ref="O79:P79"/>
    <mergeCell ref="O80:P80"/>
    <mergeCell ref="H33:S33"/>
    <mergeCell ref="G36:G55"/>
    <mergeCell ref="G56:G76"/>
  </mergeCells>
  <pageMargins left="0.511811024" right="0.511811024" top="0.78740157499999996" bottom="0.78740157499999996" header="0.31496062000000002" footer="0.31496062000000002"/>
  <pageSetup paperSize="9"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workbookViewId="0">
      <selection activeCell="A3" sqref="A3:G78"/>
    </sheetView>
  </sheetViews>
  <sheetFormatPr defaultRowHeight="15"/>
  <cols>
    <col min="1" max="1" width="15.28515625" customWidth="1"/>
    <col min="2" max="2" width="45.28515625" customWidth="1"/>
    <col min="3" max="3" width="14.85546875" customWidth="1"/>
    <col min="4" max="4" width="18.7109375" customWidth="1"/>
    <col min="5" max="5" width="33.42578125" customWidth="1"/>
    <col min="6" max="6" width="17.42578125" customWidth="1"/>
    <col min="7" max="7" width="14.85546875" customWidth="1"/>
  </cols>
  <sheetData>
    <row r="1" spans="1:7">
      <c r="A1" s="396"/>
      <c r="B1" s="397"/>
      <c r="C1" s="397"/>
      <c r="D1" s="397"/>
      <c r="E1" s="397"/>
      <c r="F1" s="397"/>
      <c r="G1" s="398"/>
    </row>
    <row r="2" spans="1:7" ht="15.75" thickBot="1">
      <c r="A2" s="473"/>
      <c r="B2" s="474"/>
      <c r="C2" s="474"/>
      <c r="D2" s="474"/>
      <c r="E2" s="474"/>
      <c r="F2" s="474"/>
      <c r="G2" s="475"/>
    </row>
    <row r="3" spans="1:7" ht="21" thickBot="1">
      <c r="A3" s="478" t="s">
        <v>362</v>
      </c>
      <c r="B3" s="479"/>
      <c r="C3" s="479"/>
      <c r="D3" s="479"/>
      <c r="E3" s="479"/>
      <c r="F3" s="479"/>
      <c r="G3" s="480"/>
    </row>
    <row r="4" spans="1:7">
      <c r="A4" s="476" t="s">
        <v>363</v>
      </c>
      <c r="B4" s="476"/>
      <c r="C4" s="476"/>
      <c r="D4" s="476"/>
      <c r="E4" s="476"/>
      <c r="F4" s="476"/>
      <c r="G4" s="476"/>
    </row>
    <row r="5" spans="1:7">
      <c r="A5" s="365"/>
      <c r="B5" s="469" t="str">
        <f>'[1]PLANILHA ATUALIZADA PROC.2022'!C13</f>
        <v xml:space="preserve">SERVIÇOS PRELIMINARES </v>
      </c>
      <c r="C5" s="469"/>
      <c r="D5" s="469"/>
      <c r="E5" s="469"/>
      <c r="F5" s="469"/>
      <c r="G5" s="469"/>
    </row>
    <row r="6" spans="1:7" ht="24.95" customHeight="1">
      <c r="A6" s="389">
        <v>20118</v>
      </c>
      <c r="B6" s="471" t="s">
        <v>324</v>
      </c>
      <c r="C6" s="471"/>
      <c r="D6" s="471"/>
      <c r="E6" s="471"/>
      <c r="F6" s="389" t="s">
        <v>62</v>
      </c>
      <c r="G6" s="389">
        <v>7.08</v>
      </c>
    </row>
    <row r="7" spans="1:7" ht="24.95" customHeight="1">
      <c r="A7" s="389">
        <v>20115</v>
      </c>
      <c r="B7" s="471" t="s">
        <v>326</v>
      </c>
      <c r="C7" s="471"/>
      <c r="D7" s="471"/>
      <c r="E7" s="471"/>
      <c r="F7" s="389" t="s">
        <v>45</v>
      </c>
      <c r="G7" s="389">
        <v>8.6999999999999993</v>
      </c>
    </row>
    <row r="8" spans="1:7" ht="24.95" customHeight="1">
      <c r="A8" s="389">
        <v>20137</v>
      </c>
      <c r="B8" s="471" t="s">
        <v>327</v>
      </c>
      <c r="C8" s="471"/>
      <c r="D8" s="471"/>
      <c r="E8" s="471"/>
      <c r="F8" s="389" t="s">
        <v>328</v>
      </c>
      <c r="G8" s="389">
        <v>1</v>
      </c>
    </row>
    <row r="9" spans="1:7" ht="24.95" customHeight="1">
      <c r="A9" s="389">
        <v>20138</v>
      </c>
      <c r="B9" s="471" t="s">
        <v>329</v>
      </c>
      <c r="C9" s="471"/>
      <c r="D9" s="471"/>
      <c r="E9" s="471"/>
      <c r="F9" s="389" t="s">
        <v>328</v>
      </c>
      <c r="G9" s="389">
        <v>2</v>
      </c>
    </row>
    <row r="10" spans="1:7" ht="24.95" customHeight="1">
      <c r="A10" s="389">
        <v>20140</v>
      </c>
      <c r="B10" s="471" t="s">
        <v>330</v>
      </c>
      <c r="C10" s="471"/>
      <c r="D10" s="471"/>
      <c r="E10" s="471"/>
      <c r="F10" s="389" t="s">
        <v>328</v>
      </c>
      <c r="G10" s="389">
        <v>5</v>
      </c>
    </row>
    <row r="11" spans="1:7" ht="24.95" customHeight="1">
      <c r="A11" s="389">
        <v>20165</v>
      </c>
      <c r="B11" s="471" t="s">
        <v>331</v>
      </c>
      <c r="C11" s="471"/>
      <c r="D11" s="471"/>
      <c r="E11" s="471"/>
      <c r="F11" s="389" t="s">
        <v>332</v>
      </c>
      <c r="G11" s="389">
        <v>7</v>
      </c>
    </row>
    <row r="12" spans="1:7" ht="24.95" customHeight="1">
      <c r="A12" s="389">
        <v>20166</v>
      </c>
      <c r="B12" s="471" t="s">
        <v>333</v>
      </c>
      <c r="C12" s="471"/>
      <c r="D12" s="471"/>
      <c r="E12" s="471"/>
      <c r="F12" s="389" t="s">
        <v>332</v>
      </c>
      <c r="G12" s="389">
        <v>7</v>
      </c>
    </row>
    <row r="13" spans="1:7" ht="24.95" customHeight="1">
      <c r="A13" s="389">
        <v>20163</v>
      </c>
      <c r="B13" s="471" t="s">
        <v>334</v>
      </c>
      <c r="C13" s="471"/>
      <c r="D13" s="471"/>
      <c r="E13" s="471"/>
      <c r="F13" s="389" t="s">
        <v>57</v>
      </c>
      <c r="G13" s="389">
        <v>12</v>
      </c>
    </row>
    <row r="14" spans="1:7" ht="24.95" customHeight="1">
      <c r="A14" s="389">
        <v>97644</v>
      </c>
      <c r="B14" s="471" t="s">
        <v>175</v>
      </c>
      <c r="C14" s="471"/>
      <c r="D14" s="471"/>
      <c r="E14" s="471"/>
      <c r="F14" s="389" t="s">
        <v>45</v>
      </c>
      <c r="G14" s="389">
        <f>1*2.2</f>
        <v>2.2000000000000002</v>
      </c>
    </row>
    <row r="15" spans="1:7" ht="24.95" customHeight="1">
      <c r="A15" s="389">
        <v>30105</v>
      </c>
      <c r="B15" s="471" t="s">
        <v>61</v>
      </c>
      <c r="C15" s="471"/>
      <c r="D15" s="471"/>
      <c r="E15" s="471"/>
      <c r="F15" s="389" t="s">
        <v>62</v>
      </c>
      <c r="G15" s="389">
        <f>G6</f>
        <v>7.08</v>
      </c>
    </row>
    <row r="16" spans="1:7" ht="24.95" customHeight="1">
      <c r="A16" s="390"/>
      <c r="B16" s="390"/>
      <c r="C16" s="390"/>
      <c r="D16" s="399"/>
      <c r="E16" s="390"/>
      <c r="F16" s="390"/>
      <c r="G16" s="399"/>
    </row>
    <row r="17" spans="1:7" ht="24.95" customHeight="1">
      <c r="A17" s="365"/>
      <c r="B17" s="469" t="s">
        <v>364</v>
      </c>
      <c r="C17" s="469"/>
      <c r="D17" s="469"/>
      <c r="E17" s="469"/>
      <c r="F17" s="469"/>
      <c r="G17" s="469"/>
    </row>
    <row r="18" spans="1:7" ht="24.95" customHeight="1">
      <c r="A18" s="389"/>
      <c r="B18" s="390"/>
      <c r="C18" s="390"/>
      <c r="D18" s="390"/>
      <c r="E18" s="400" t="s">
        <v>365</v>
      </c>
      <c r="F18" s="400" t="s">
        <v>366</v>
      </c>
      <c r="G18" s="400" t="s">
        <v>367</v>
      </c>
    </row>
    <row r="19" spans="1:7" ht="24.95" customHeight="1">
      <c r="A19" s="389"/>
      <c r="B19" s="390" t="s">
        <v>368</v>
      </c>
      <c r="C19" s="390"/>
      <c r="D19" s="390"/>
      <c r="E19" s="389">
        <v>2</v>
      </c>
      <c r="F19" s="389">
        <v>2.9</v>
      </c>
      <c r="G19" s="389">
        <f>E19*F19</f>
        <v>5.8</v>
      </c>
    </row>
    <row r="20" spans="1:7" ht="24.95" customHeight="1">
      <c r="A20" s="389"/>
      <c r="B20" s="390" t="s">
        <v>369</v>
      </c>
      <c r="C20" s="390"/>
      <c r="D20" s="390"/>
      <c r="E20" s="389">
        <v>2</v>
      </c>
      <c r="F20" s="389">
        <v>2.9</v>
      </c>
      <c r="G20" s="389">
        <f>E20*F20</f>
        <v>5.8</v>
      </c>
    </row>
    <row r="21" spans="1:7" ht="24.95" customHeight="1">
      <c r="A21" s="389"/>
      <c r="B21" s="390" t="s">
        <v>364</v>
      </c>
      <c r="C21" s="390"/>
      <c r="D21" s="390"/>
      <c r="E21" s="389">
        <v>2</v>
      </c>
      <c r="F21" s="389">
        <v>2.9</v>
      </c>
      <c r="G21" s="389">
        <f>E21*F21</f>
        <v>5.8</v>
      </c>
    </row>
    <row r="22" spans="1:7" ht="24.95" customHeight="1">
      <c r="A22" s="389"/>
      <c r="B22" s="390" t="s">
        <v>370</v>
      </c>
      <c r="C22" s="390"/>
      <c r="D22" s="390"/>
      <c r="E22" s="389">
        <v>1</v>
      </c>
      <c r="F22" s="389">
        <v>2.5</v>
      </c>
      <c r="G22" s="389">
        <f>E22*F22</f>
        <v>2.5</v>
      </c>
    </row>
    <row r="23" spans="1:7" ht="24.95" customHeight="1">
      <c r="A23" s="389"/>
      <c r="B23" s="390" t="s">
        <v>371</v>
      </c>
      <c r="C23" s="390"/>
      <c r="D23" s="390"/>
      <c r="E23" s="389">
        <v>1</v>
      </c>
      <c r="F23" s="389">
        <v>2.2000000000000002</v>
      </c>
      <c r="G23" s="389">
        <f>E23*F23</f>
        <v>2.2000000000000002</v>
      </c>
    </row>
    <row r="24" spans="1:7" ht="24.95" customHeight="1">
      <c r="A24" s="470" t="s">
        <v>78</v>
      </c>
      <c r="B24" s="470"/>
      <c r="C24" s="470"/>
      <c r="D24" s="470"/>
      <c r="E24" s="470"/>
      <c r="F24" s="470"/>
      <c r="G24" s="399">
        <f>SUM(F19:G23)*0.25</f>
        <v>8.875</v>
      </c>
    </row>
    <row r="25" spans="1:7" ht="24.95" customHeight="1">
      <c r="A25" s="365"/>
      <c r="B25" s="469" t="s">
        <v>372</v>
      </c>
      <c r="C25" s="469"/>
      <c r="D25" s="469"/>
      <c r="E25" s="469"/>
      <c r="F25" s="469"/>
      <c r="G25" s="469"/>
    </row>
    <row r="26" spans="1:7" ht="24.95" customHeight="1">
      <c r="A26" s="389"/>
      <c r="B26" s="390"/>
      <c r="C26" s="401"/>
      <c r="D26" s="390"/>
      <c r="E26" s="400" t="s">
        <v>373</v>
      </c>
      <c r="F26" s="400" t="s">
        <v>366</v>
      </c>
      <c r="G26" s="400" t="s">
        <v>367</v>
      </c>
    </row>
    <row r="27" spans="1:7" ht="24.95" customHeight="1">
      <c r="A27" s="389"/>
      <c r="B27" s="390" t="s">
        <v>374</v>
      </c>
      <c r="C27" s="401"/>
      <c r="D27" s="390"/>
      <c r="E27" s="389">
        <v>5.9</v>
      </c>
      <c r="F27" s="389">
        <v>2.9</v>
      </c>
      <c r="G27" s="389">
        <f>E27*F27</f>
        <v>17.11</v>
      </c>
    </row>
    <row r="28" spans="1:7" ht="24.95" customHeight="1">
      <c r="A28" s="389"/>
      <c r="B28" s="390" t="s">
        <v>375</v>
      </c>
      <c r="C28" s="401"/>
      <c r="D28" s="390"/>
      <c r="E28" s="389">
        <v>6.1</v>
      </c>
      <c r="F28" s="389">
        <v>2.9</v>
      </c>
      <c r="G28" s="389">
        <f>E28*F28</f>
        <v>17.689999999999998</v>
      </c>
    </row>
    <row r="29" spans="1:7" ht="24.95" customHeight="1">
      <c r="A29" s="470" t="s">
        <v>78</v>
      </c>
      <c r="B29" s="470"/>
      <c r="C29" s="470"/>
      <c r="D29" s="470"/>
      <c r="E29" s="470"/>
      <c r="F29" s="470"/>
      <c r="G29" s="399">
        <f>SUM(G25:G28)*0.25</f>
        <v>8.6999999999999993</v>
      </c>
    </row>
    <row r="30" spans="1:7" ht="24.95" customHeight="1">
      <c r="A30" s="365" t="s">
        <v>376</v>
      </c>
      <c r="B30" s="469" t="str">
        <f>B5</f>
        <v xml:space="preserve">SERVIÇOS PRELIMINARES </v>
      </c>
      <c r="C30" s="469"/>
      <c r="D30" s="469"/>
      <c r="E30" s="469"/>
      <c r="F30" s="469"/>
      <c r="G30" s="469"/>
    </row>
    <row r="31" spans="1:7" ht="24.95" customHeight="1">
      <c r="A31" s="389">
        <v>20137</v>
      </c>
      <c r="B31" s="471" t="s">
        <v>327</v>
      </c>
      <c r="C31" s="471"/>
      <c r="D31" s="471"/>
      <c r="E31" s="471"/>
      <c r="F31" s="389" t="s">
        <v>328</v>
      </c>
      <c r="G31" s="389">
        <v>1</v>
      </c>
    </row>
    <row r="32" spans="1:7" ht="24.95" customHeight="1">
      <c r="A32" s="389">
        <v>20138</v>
      </c>
      <c r="B32" s="471" t="s">
        <v>329</v>
      </c>
      <c r="C32" s="471"/>
      <c r="D32" s="471"/>
      <c r="E32" s="471"/>
      <c r="F32" s="389" t="s">
        <v>328</v>
      </c>
      <c r="G32" s="389">
        <v>2</v>
      </c>
    </row>
    <row r="33" spans="1:7" ht="24.95" customHeight="1">
      <c r="A33" s="389">
        <v>20140</v>
      </c>
      <c r="B33" s="471" t="s">
        <v>330</v>
      </c>
      <c r="C33" s="471"/>
      <c r="D33" s="471"/>
      <c r="E33" s="471"/>
      <c r="F33" s="389" t="s">
        <v>328</v>
      </c>
      <c r="G33" s="389">
        <v>5</v>
      </c>
    </row>
    <row r="34" spans="1:7" ht="24.95" customHeight="1">
      <c r="A34" s="389">
        <v>20165</v>
      </c>
      <c r="B34" s="471" t="s">
        <v>331</v>
      </c>
      <c r="C34" s="471"/>
      <c r="D34" s="471"/>
      <c r="E34" s="471"/>
      <c r="F34" s="389" t="s">
        <v>332</v>
      </c>
      <c r="G34" s="389">
        <v>7</v>
      </c>
    </row>
    <row r="35" spans="1:7" ht="24.95" customHeight="1">
      <c r="A35" s="389">
        <v>20166</v>
      </c>
      <c r="B35" s="471" t="s">
        <v>333</v>
      </c>
      <c r="C35" s="471"/>
      <c r="D35" s="471"/>
      <c r="E35" s="471"/>
      <c r="F35" s="389" t="s">
        <v>332</v>
      </c>
      <c r="G35" s="389">
        <v>7</v>
      </c>
    </row>
    <row r="36" spans="1:7" ht="24.95" customHeight="1">
      <c r="A36" s="365"/>
      <c r="B36" s="477" t="s">
        <v>377</v>
      </c>
      <c r="C36" s="477"/>
      <c r="D36" s="477"/>
      <c r="E36" s="477"/>
      <c r="F36" s="477"/>
      <c r="G36" s="477"/>
    </row>
    <row r="37" spans="1:7" ht="24.95" customHeight="1">
      <c r="A37" s="389"/>
      <c r="B37" s="390"/>
      <c r="C37" s="401"/>
      <c r="D37" s="390"/>
      <c r="E37" s="400" t="s">
        <v>365</v>
      </c>
      <c r="F37" s="400" t="s">
        <v>366</v>
      </c>
      <c r="G37" s="400" t="s">
        <v>367</v>
      </c>
    </row>
    <row r="38" spans="1:7" ht="24.95" customHeight="1">
      <c r="A38" s="389"/>
      <c r="B38" s="390" t="s">
        <v>378</v>
      </c>
      <c r="C38" s="401"/>
      <c r="D38" s="390"/>
      <c r="E38" s="389">
        <v>2</v>
      </c>
      <c r="F38" s="389">
        <v>2.7</v>
      </c>
      <c r="G38" s="389">
        <f>E38*F38</f>
        <v>5.4</v>
      </c>
    </row>
    <row r="39" spans="1:7" ht="24.95" customHeight="1">
      <c r="A39" s="389"/>
      <c r="B39" s="390" t="s">
        <v>379</v>
      </c>
      <c r="C39" s="401"/>
      <c r="D39" s="390"/>
      <c r="E39" s="389">
        <f>1.15+1.05</f>
        <v>2.2000000000000002</v>
      </c>
      <c r="F39" s="389">
        <v>2.9</v>
      </c>
      <c r="G39" s="389">
        <f>E39*F39</f>
        <v>6.38</v>
      </c>
    </row>
    <row r="40" spans="1:7" ht="24.95" customHeight="1">
      <c r="A40" s="470" t="s">
        <v>78</v>
      </c>
      <c r="B40" s="470"/>
      <c r="C40" s="470"/>
      <c r="D40" s="470"/>
      <c r="E40" s="470"/>
      <c r="F40" s="470"/>
      <c r="G40" s="399">
        <f>SUM(G38:G39)</f>
        <v>11.780000000000001</v>
      </c>
    </row>
    <row r="41" spans="1:7" ht="24.95" customHeight="1">
      <c r="A41" s="365"/>
      <c r="B41" s="469" t="s">
        <v>380</v>
      </c>
      <c r="C41" s="469"/>
      <c r="D41" s="469"/>
      <c r="E41" s="469"/>
      <c r="F41" s="469"/>
      <c r="G41" s="469"/>
    </row>
    <row r="42" spans="1:7" ht="24.95" customHeight="1">
      <c r="A42" s="389"/>
      <c r="B42" s="401"/>
      <c r="C42" s="401"/>
      <c r="D42" s="390"/>
      <c r="E42" s="389"/>
      <c r="F42" s="389"/>
      <c r="G42" s="400" t="s">
        <v>381</v>
      </c>
    </row>
    <row r="43" spans="1:7" ht="24.95" customHeight="1">
      <c r="A43" s="389"/>
      <c r="B43" s="471" t="s">
        <v>382</v>
      </c>
      <c r="C43" s="471"/>
      <c r="D43" s="390"/>
      <c r="E43" s="389"/>
      <c r="F43" s="389"/>
      <c r="G43" s="389">
        <v>2</v>
      </c>
    </row>
    <row r="44" spans="1:7" ht="24.95" customHeight="1">
      <c r="A44" s="389"/>
      <c r="B44" s="471" t="s">
        <v>383</v>
      </c>
      <c r="C44" s="471"/>
      <c r="D44" s="389"/>
      <c r="E44" s="390"/>
      <c r="F44" s="390"/>
      <c r="G44" s="389">
        <v>2.2000000000000002</v>
      </c>
    </row>
    <row r="45" spans="1:7" ht="24.95" customHeight="1">
      <c r="A45" s="470" t="s">
        <v>78</v>
      </c>
      <c r="B45" s="470"/>
      <c r="C45" s="470"/>
      <c r="D45" s="470"/>
      <c r="E45" s="470"/>
      <c r="F45" s="470"/>
      <c r="G45" s="399">
        <f>SUM(G41:G44)</f>
        <v>4.2</v>
      </c>
    </row>
    <row r="46" spans="1:7" ht="24.95" customHeight="1">
      <c r="A46" s="365"/>
      <c r="B46" s="469" t="str">
        <f>'[1]PLANILHA ATUALIZADA PROC.2022'!C51</f>
        <v xml:space="preserve">REVESTIMENTOS DE PAREDE </v>
      </c>
      <c r="C46" s="469"/>
      <c r="D46" s="469"/>
      <c r="E46" s="469"/>
      <c r="F46" s="469"/>
      <c r="G46" s="469"/>
    </row>
    <row r="47" spans="1:7" ht="24.95" customHeight="1">
      <c r="A47" s="470"/>
      <c r="B47" s="470"/>
      <c r="C47" s="470"/>
      <c r="D47" s="470"/>
      <c r="E47" s="470"/>
      <c r="F47" s="470"/>
      <c r="G47" s="400" t="s">
        <v>367</v>
      </c>
    </row>
    <row r="48" spans="1:7" ht="24.95" customHeight="1">
      <c r="A48" s="389"/>
      <c r="B48" s="390" t="str">
        <f>'[1]PLANILHA ATUALIZADA PROC.2022'!C54</f>
        <v>CHAPISCO COMUM</v>
      </c>
      <c r="C48" s="401"/>
      <c r="D48" s="390"/>
      <c r="E48" s="389"/>
      <c r="F48" s="389"/>
      <c r="G48" s="400">
        <f>G51+G52</f>
        <v>38.93</v>
      </c>
    </row>
    <row r="49" spans="1:7" ht="24.95" customHeight="1">
      <c r="A49" s="389"/>
      <c r="B49" s="390" t="str">
        <f>'[1]PLANILHA ATUALIZADA PROC.2022'!C55</f>
        <v>EMBOÇO (1CI:4 ARML)</v>
      </c>
      <c r="C49" s="389"/>
      <c r="D49" s="389"/>
      <c r="E49" s="390"/>
      <c r="F49" s="390"/>
      <c r="G49" s="400">
        <f>G48</f>
        <v>38.93</v>
      </c>
    </row>
    <row r="50" spans="1:7" ht="24.95" customHeight="1">
      <c r="A50" s="389"/>
      <c r="B50" s="390"/>
      <c r="C50" s="472" t="s">
        <v>384</v>
      </c>
      <c r="D50" s="472"/>
      <c r="E50" s="472"/>
      <c r="F50" s="472"/>
      <c r="G50" s="472"/>
    </row>
    <row r="51" spans="1:7" ht="24.95" customHeight="1">
      <c r="A51" s="389"/>
      <c r="B51" s="390"/>
      <c r="C51" s="471" t="s">
        <v>385</v>
      </c>
      <c r="D51" s="471"/>
      <c r="E51" s="471"/>
      <c r="F51" s="471"/>
      <c r="G51" s="389">
        <f>G40*2</f>
        <v>23.560000000000002</v>
      </c>
    </row>
    <row r="52" spans="1:7" ht="24.95" customHeight="1">
      <c r="A52" s="389"/>
      <c r="B52" s="390"/>
      <c r="C52" s="471" t="s">
        <v>386</v>
      </c>
      <c r="D52" s="471"/>
      <c r="E52" s="471"/>
      <c r="F52" s="471"/>
      <c r="G52" s="389">
        <f>(2.65*2*2.9)</f>
        <v>15.37</v>
      </c>
    </row>
    <row r="53" spans="1:7" ht="24.95" customHeight="1">
      <c r="A53" s="365"/>
      <c r="B53" s="469" t="s">
        <v>387</v>
      </c>
      <c r="C53" s="469"/>
      <c r="D53" s="469"/>
      <c r="E53" s="469"/>
      <c r="F53" s="469"/>
      <c r="G53" s="469"/>
    </row>
    <row r="54" spans="1:7" ht="24.95" customHeight="1">
      <c r="A54" s="389"/>
      <c r="B54" s="402"/>
      <c r="C54" s="401"/>
      <c r="D54" s="390"/>
      <c r="E54" s="389"/>
      <c r="F54" s="389"/>
      <c r="G54" s="400" t="s">
        <v>367</v>
      </c>
    </row>
    <row r="55" spans="1:7" ht="24.95" customHeight="1">
      <c r="A55" s="389"/>
      <c r="B55" s="390" t="s">
        <v>388</v>
      </c>
      <c r="C55" s="401"/>
      <c r="D55" s="390"/>
      <c r="E55" s="389"/>
      <c r="F55" s="389"/>
      <c r="G55" s="389">
        <f>((2*0.25)*3)+(1*3*0.025)</f>
        <v>1.575</v>
      </c>
    </row>
    <row r="56" spans="1:7" ht="24.95" customHeight="1">
      <c r="A56" s="470" t="s">
        <v>78</v>
      </c>
      <c r="B56" s="470"/>
      <c r="C56" s="470"/>
      <c r="D56" s="470"/>
      <c r="E56" s="470"/>
      <c r="F56" s="470"/>
      <c r="G56" s="399">
        <f>SUM(G53:G55)</f>
        <v>1.575</v>
      </c>
    </row>
    <row r="57" spans="1:7" ht="24.95" customHeight="1">
      <c r="A57" s="365"/>
      <c r="B57" s="469" t="s">
        <v>389</v>
      </c>
      <c r="C57" s="469"/>
      <c r="D57" s="469"/>
      <c r="E57" s="469"/>
      <c r="F57" s="469"/>
      <c r="G57" s="469"/>
    </row>
    <row r="58" spans="1:7" ht="24.95" customHeight="1">
      <c r="A58" s="389"/>
      <c r="B58" s="402"/>
      <c r="C58" s="401"/>
      <c r="D58" s="400" t="s">
        <v>390</v>
      </c>
      <c r="E58" s="400" t="s">
        <v>365</v>
      </c>
      <c r="F58" s="400" t="s">
        <v>366</v>
      </c>
      <c r="G58" s="400" t="s">
        <v>367</v>
      </c>
    </row>
    <row r="59" spans="1:7" ht="24.95" customHeight="1">
      <c r="A59" s="389"/>
      <c r="B59" s="390" t="s">
        <v>391</v>
      </c>
      <c r="C59" s="401"/>
      <c r="D59" s="389">
        <f>0.6*2.1</f>
        <v>1.26</v>
      </c>
      <c r="E59" s="389">
        <f>2.5*2</f>
        <v>5</v>
      </c>
      <c r="F59" s="389">
        <v>2.9</v>
      </c>
      <c r="G59" s="389">
        <f>(E59*F59)-D59</f>
        <v>13.24</v>
      </c>
    </row>
    <row r="60" spans="1:7" ht="24.95" customHeight="1">
      <c r="A60" s="389"/>
      <c r="B60" s="390" t="s">
        <v>392</v>
      </c>
      <c r="C60" s="389"/>
      <c r="D60" s="389"/>
      <c r="E60" s="389">
        <v>2</v>
      </c>
      <c r="F60" s="389">
        <v>2.9</v>
      </c>
      <c r="G60" s="389">
        <f>(E60*F60)-D60</f>
        <v>5.8</v>
      </c>
    </row>
    <row r="61" spans="1:7" ht="24.95" customHeight="1">
      <c r="A61" s="389"/>
      <c r="B61" s="390" t="s">
        <v>393</v>
      </c>
      <c r="C61" s="389"/>
      <c r="D61" s="389">
        <f>0.6*2.1</f>
        <v>1.26</v>
      </c>
      <c r="E61" s="389">
        <f>1.05+1.15</f>
        <v>2.2000000000000002</v>
      </c>
      <c r="F61" s="389">
        <v>2.9</v>
      </c>
      <c r="G61" s="389">
        <f>(E61*F61)-D61</f>
        <v>5.12</v>
      </c>
    </row>
    <row r="62" spans="1:7" ht="24.95" customHeight="1">
      <c r="A62" s="389"/>
      <c r="B62" s="390" t="s">
        <v>394</v>
      </c>
      <c r="C62" s="389"/>
      <c r="D62" s="389"/>
      <c r="E62" s="389">
        <v>2</v>
      </c>
      <c r="F62" s="389">
        <v>2.9</v>
      </c>
      <c r="G62" s="389">
        <f>(E62*F62)-D62</f>
        <v>5.8</v>
      </c>
    </row>
    <row r="63" spans="1:7" ht="24.95" customHeight="1">
      <c r="A63" s="470" t="s">
        <v>78</v>
      </c>
      <c r="B63" s="470"/>
      <c r="C63" s="470"/>
      <c r="D63" s="470"/>
      <c r="E63" s="470"/>
      <c r="F63" s="470"/>
      <c r="G63" s="399">
        <f>SUM(G59:G62)</f>
        <v>29.96</v>
      </c>
    </row>
    <row r="64" spans="1:7" ht="24.95" customHeight="1">
      <c r="A64" s="365"/>
      <c r="B64" s="469" t="s">
        <v>395</v>
      </c>
      <c r="C64" s="469"/>
      <c r="D64" s="469"/>
      <c r="E64" s="469"/>
      <c r="F64" s="469"/>
      <c r="G64" s="469"/>
    </row>
    <row r="65" spans="1:7" ht="24.95" customHeight="1">
      <c r="A65" s="389"/>
      <c r="B65" s="402"/>
      <c r="C65" s="401"/>
      <c r="D65" s="400"/>
      <c r="E65" s="400"/>
      <c r="F65" s="400"/>
      <c r="G65" s="400" t="s">
        <v>367</v>
      </c>
    </row>
    <row r="66" spans="1:7" ht="24.95" customHeight="1">
      <c r="A66" s="389"/>
      <c r="B66" s="390" t="s">
        <v>393</v>
      </c>
      <c r="C66" s="401"/>
      <c r="D66" s="390"/>
      <c r="E66" s="389"/>
      <c r="F66" s="389"/>
      <c r="G66" s="389">
        <v>2</v>
      </c>
    </row>
    <row r="67" spans="1:7" ht="24.95" customHeight="1">
      <c r="A67" s="389"/>
      <c r="B67" s="390" t="s">
        <v>396</v>
      </c>
      <c r="C67" s="389"/>
      <c r="D67" s="389"/>
      <c r="E67" s="390"/>
      <c r="F67" s="390"/>
      <c r="G67" s="389">
        <v>2.16</v>
      </c>
    </row>
    <row r="68" spans="1:7" ht="24.95" customHeight="1">
      <c r="A68" s="389"/>
      <c r="B68" s="390" t="s">
        <v>397</v>
      </c>
      <c r="C68" s="389"/>
      <c r="D68" s="389"/>
      <c r="E68" s="390"/>
      <c r="F68" s="390"/>
      <c r="G68" s="389">
        <v>2</v>
      </c>
    </row>
    <row r="69" spans="1:7" ht="24.95" customHeight="1">
      <c r="A69" s="389"/>
      <c r="B69" s="390" t="s">
        <v>391</v>
      </c>
      <c r="C69" s="389"/>
      <c r="D69" s="389"/>
      <c r="E69" s="390"/>
      <c r="F69" s="390"/>
      <c r="G69" s="389">
        <v>5.69</v>
      </c>
    </row>
    <row r="70" spans="1:7" ht="24.95" customHeight="1">
      <c r="A70" s="470" t="s">
        <v>78</v>
      </c>
      <c r="B70" s="470"/>
      <c r="C70" s="470"/>
      <c r="D70" s="470"/>
      <c r="E70" s="470"/>
      <c r="F70" s="470"/>
      <c r="G70" s="399">
        <f>SUM(G66:G69)</f>
        <v>11.850000000000001</v>
      </c>
    </row>
    <row r="71" spans="1:7" ht="24.95" customHeight="1">
      <c r="A71" s="365"/>
      <c r="B71" s="469" t="s">
        <v>398</v>
      </c>
      <c r="C71" s="469"/>
      <c r="D71" s="469"/>
      <c r="E71" s="469"/>
      <c r="F71" s="469"/>
      <c r="G71" s="469"/>
    </row>
    <row r="72" spans="1:7" ht="24.95" customHeight="1">
      <c r="A72" s="389"/>
      <c r="B72" s="402"/>
      <c r="C72" s="401"/>
      <c r="D72" s="400"/>
      <c r="E72" s="400" t="s">
        <v>399</v>
      </c>
      <c r="F72" s="400" t="s">
        <v>400</v>
      </c>
      <c r="G72" s="400" t="s">
        <v>367</v>
      </c>
    </row>
    <row r="73" spans="1:7" ht="24.95" customHeight="1">
      <c r="A73" s="389"/>
      <c r="B73" s="390" t="s">
        <v>401</v>
      </c>
      <c r="C73" s="401"/>
      <c r="D73" s="390"/>
      <c r="E73" s="389">
        <v>3</v>
      </c>
      <c r="F73" s="389" t="s">
        <v>402</v>
      </c>
      <c r="G73" s="389">
        <f>0.8*2.1*E73</f>
        <v>5.0400000000000009</v>
      </c>
    </row>
    <row r="74" spans="1:7" ht="24.95" customHeight="1">
      <c r="A74" s="470" t="s">
        <v>78</v>
      </c>
      <c r="B74" s="470"/>
      <c r="C74" s="470"/>
      <c r="D74" s="470"/>
      <c r="E74" s="470"/>
      <c r="F74" s="470"/>
      <c r="G74" s="399">
        <f>G73</f>
        <v>5.0400000000000009</v>
      </c>
    </row>
    <row r="75" spans="1:7" ht="24.95" customHeight="1">
      <c r="A75" s="365"/>
      <c r="B75" s="469" t="s">
        <v>403</v>
      </c>
      <c r="C75" s="469"/>
      <c r="D75" s="469"/>
      <c r="E75" s="469"/>
      <c r="F75" s="469"/>
      <c r="G75" s="469"/>
    </row>
    <row r="76" spans="1:7" ht="24.95" customHeight="1">
      <c r="A76" s="389"/>
      <c r="B76" s="402"/>
      <c r="C76" s="401"/>
      <c r="D76" s="400" t="s">
        <v>399</v>
      </c>
      <c r="E76" s="400" t="s">
        <v>365</v>
      </c>
      <c r="F76" s="400" t="s">
        <v>366</v>
      </c>
      <c r="G76" s="400" t="s">
        <v>367</v>
      </c>
    </row>
    <row r="77" spans="1:7" ht="24.95" customHeight="1">
      <c r="A77" s="389"/>
      <c r="B77" s="471" t="s">
        <v>404</v>
      </c>
      <c r="C77" s="471"/>
      <c r="D77" s="389">
        <v>3</v>
      </c>
      <c r="E77" s="389">
        <v>0.6</v>
      </c>
      <c r="F77" s="389">
        <v>3</v>
      </c>
      <c r="G77" s="389">
        <f>D77*E77*F77</f>
        <v>5.3999999999999995</v>
      </c>
    </row>
    <row r="78" spans="1:7" ht="24.95" customHeight="1">
      <c r="A78" s="470" t="s">
        <v>78</v>
      </c>
      <c r="B78" s="470"/>
      <c r="C78" s="470"/>
      <c r="D78" s="470"/>
      <c r="E78" s="470"/>
      <c r="F78" s="470"/>
      <c r="G78" s="399">
        <f>SUM(G75:G77)</f>
        <v>5.3999999999999995</v>
      </c>
    </row>
  </sheetData>
  <mergeCells count="46">
    <mergeCell ref="B34:E34"/>
    <mergeCell ref="B35:E35"/>
    <mergeCell ref="B36:G36"/>
    <mergeCell ref="B31:E31"/>
    <mergeCell ref="B10:E10"/>
    <mergeCell ref="B11:E11"/>
    <mergeCell ref="B12:E12"/>
    <mergeCell ref="B13:E13"/>
    <mergeCell ref="B14:E14"/>
    <mergeCell ref="B15:E15"/>
    <mergeCell ref="A24:F24"/>
    <mergeCell ref="B25:G25"/>
    <mergeCell ref="A29:F29"/>
    <mergeCell ref="B30:G30"/>
    <mergeCell ref="A78:F78"/>
    <mergeCell ref="A63:F63"/>
    <mergeCell ref="A56:F56"/>
    <mergeCell ref="B57:G57"/>
    <mergeCell ref="B43:C43"/>
    <mergeCell ref="B44:C44"/>
    <mergeCell ref="A45:F45"/>
    <mergeCell ref="B46:G46"/>
    <mergeCell ref="A40:F40"/>
    <mergeCell ref="B41:G41"/>
    <mergeCell ref="B32:E32"/>
    <mergeCell ref="B33:E33"/>
    <mergeCell ref="A2:G2"/>
    <mergeCell ref="A4:G4"/>
    <mergeCell ref="B5:G5"/>
    <mergeCell ref="B6:E6"/>
    <mergeCell ref="B17:G17"/>
    <mergeCell ref="A3:G3"/>
    <mergeCell ref="B7:E7"/>
    <mergeCell ref="B8:E8"/>
    <mergeCell ref="B9:E9"/>
    <mergeCell ref="B77:C77"/>
    <mergeCell ref="A47:F47"/>
    <mergeCell ref="C50:G50"/>
    <mergeCell ref="C51:F51"/>
    <mergeCell ref="C52:F52"/>
    <mergeCell ref="B53:G53"/>
    <mergeCell ref="B64:G64"/>
    <mergeCell ref="A70:F70"/>
    <mergeCell ref="B71:G71"/>
    <mergeCell ref="A74:F74"/>
    <mergeCell ref="B75:G75"/>
  </mergeCells>
  <pageMargins left="0.511811024" right="0.511811024" top="0.78740157499999996" bottom="0.78740157499999996" header="0.31496062000000002" footer="0.31496062000000002"/>
  <pageSetup paperSize="9" scale="5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39"/>
  <sheetViews>
    <sheetView view="pageBreakPreview" topLeftCell="A16" zoomScale="115" zoomScaleNormal="60" zoomScaleSheetLayoutView="115" zoomScalePageLayoutView="75" workbookViewId="0">
      <selection activeCell="E36" sqref="E36"/>
    </sheetView>
  </sheetViews>
  <sheetFormatPr defaultRowHeight="15"/>
  <cols>
    <col min="1" max="3" width="10.85546875"/>
    <col min="4" max="4" width="20"/>
    <col min="5" max="5" width="15.85546875"/>
    <col min="6" max="8" width="10.85546875"/>
    <col min="9" max="9" width="18.140625"/>
    <col min="10" max="13" width="10.85546875"/>
    <col min="14" max="1025" width="8.28515625"/>
  </cols>
  <sheetData>
    <row r="1" spans="2:13" ht="20.25">
      <c r="B1" s="482" t="s">
        <v>92</v>
      </c>
      <c r="C1" s="482"/>
      <c r="D1" s="482"/>
      <c r="E1" s="482"/>
      <c r="F1" s="482"/>
      <c r="G1" s="482"/>
      <c r="H1" s="482"/>
      <c r="I1" s="33"/>
      <c r="J1" s="33"/>
      <c r="K1" s="34"/>
    </row>
    <row r="2" spans="2:13" ht="20.25">
      <c r="B2" s="35"/>
      <c r="C2" s="36"/>
      <c r="D2" s="36"/>
      <c r="E2" s="37" t="s">
        <v>93</v>
      </c>
      <c r="F2" s="37" t="s">
        <v>94</v>
      </c>
      <c r="G2" s="38" t="s">
        <v>95</v>
      </c>
      <c r="H2" s="26"/>
      <c r="I2" s="39"/>
      <c r="J2" s="33"/>
      <c r="K2" s="34"/>
    </row>
    <row r="3" spans="2:13">
      <c r="B3" s="40"/>
      <c r="E3" s="41">
        <v>7.59</v>
      </c>
      <c r="F3" s="41">
        <v>4.72</v>
      </c>
      <c r="G3" s="42">
        <v>0.89049999999999996</v>
      </c>
      <c r="H3" s="26"/>
      <c r="I3" s="39"/>
      <c r="K3" s="34"/>
    </row>
    <row r="4" spans="2:13">
      <c r="B4" s="40"/>
      <c r="D4" t="s">
        <v>96</v>
      </c>
      <c r="E4" s="43">
        <f>E35</f>
        <v>334892.65384599997</v>
      </c>
      <c r="G4" s="44"/>
      <c r="I4" s="45"/>
      <c r="J4" s="36"/>
      <c r="K4" s="46"/>
      <c r="L4" s="36"/>
      <c r="M4" s="47"/>
    </row>
    <row r="5" spans="2:13">
      <c r="B5" s="48" t="s">
        <v>97</v>
      </c>
      <c r="D5" s="39" t="s">
        <v>98</v>
      </c>
      <c r="E5" s="49">
        <v>0</v>
      </c>
      <c r="F5" t="s">
        <v>99</v>
      </c>
      <c r="G5" s="44"/>
      <c r="I5" s="50" t="s">
        <v>100</v>
      </c>
      <c r="J5" s="51">
        <v>0</v>
      </c>
      <c r="K5" s="34"/>
      <c r="L5" s="39" t="s">
        <v>101</v>
      </c>
      <c r="M5" s="52"/>
    </row>
    <row r="6" spans="2:13">
      <c r="B6" s="53">
        <v>0</v>
      </c>
      <c r="D6" s="39"/>
      <c r="E6">
        <f>E5/9</f>
        <v>0</v>
      </c>
      <c r="F6" t="s">
        <v>102</v>
      </c>
      <c r="G6" s="44"/>
      <c r="I6" s="50" t="s">
        <v>103</v>
      </c>
      <c r="J6" s="54"/>
      <c r="K6" s="34" t="s">
        <v>104</v>
      </c>
      <c r="M6" s="44"/>
    </row>
    <row r="7" spans="2:13">
      <c r="B7" s="53">
        <v>0</v>
      </c>
      <c r="C7" s="31"/>
      <c r="D7" s="55"/>
      <c r="E7" s="31">
        <f>E6/(30*5/7)</f>
        <v>0</v>
      </c>
      <c r="F7" s="31" t="s">
        <v>105</v>
      </c>
      <c r="G7" s="56"/>
      <c r="I7" s="50"/>
      <c r="K7" s="34"/>
      <c r="M7" s="44"/>
    </row>
    <row r="8" spans="2:13">
      <c r="B8" s="53">
        <v>0</v>
      </c>
      <c r="D8" s="39"/>
      <c r="I8" s="57" t="s">
        <v>106</v>
      </c>
      <c r="J8" s="31"/>
      <c r="K8" s="58" t="s">
        <v>45</v>
      </c>
      <c r="L8" s="31"/>
      <c r="M8" s="56"/>
    </row>
    <row r="9" spans="2:13">
      <c r="B9" s="53">
        <v>0</v>
      </c>
      <c r="D9" s="45" t="s">
        <v>107</v>
      </c>
      <c r="E9" s="59">
        <f>0.85*E4*0.45/(((((1.1506*E3+F3)*(1+G3))/2)*8.8))</f>
        <v>1144.6871746160507</v>
      </c>
      <c r="F9" s="36">
        <f>0.85*E5/8.8</f>
        <v>0</v>
      </c>
      <c r="G9" s="47" t="s">
        <v>108</v>
      </c>
      <c r="I9" s="39"/>
      <c r="K9" s="34"/>
    </row>
    <row r="10" spans="2:13">
      <c r="B10" s="53">
        <v>0</v>
      </c>
      <c r="D10" s="50"/>
      <c r="G10" s="44"/>
      <c r="I10" s="45" t="s">
        <v>109</v>
      </c>
      <c r="J10" s="36">
        <f>J8</f>
        <v>0</v>
      </c>
      <c r="K10" s="60"/>
    </row>
    <row r="11" spans="2:13">
      <c r="B11" s="53">
        <v>0</v>
      </c>
      <c r="D11" s="50" t="s">
        <v>110</v>
      </c>
      <c r="E11" s="49">
        <v>12</v>
      </c>
      <c r="F11" t="s">
        <v>105</v>
      </c>
      <c r="G11" s="44"/>
      <c r="I11" s="57"/>
      <c r="J11" s="31"/>
      <c r="K11" s="61"/>
    </row>
    <row r="12" spans="2:13">
      <c r="B12" s="53">
        <v>0</v>
      </c>
      <c r="D12" s="50"/>
      <c r="E12">
        <f>E11*30*5/7</f>
        <v>257.14285714285717</v>
      </c>
      <c r="F12" t="s">
        <v>102</v>
      </c>
      <c r="G12" s="44"/>
      <c r="I12" s="39"/>
      <c r="K12" s="34"/>
    </row>
    <row r="13" spans="2:13">
      <c r="B13" s="53">
        <v>0</v>
      </c>
      <c r="D13" s="50"/>
      <c r="G13" s="44"/>
      <c r="I13" s="45" t="s">
        <v>111</v>
      </c>
      <c r="J13" s="62" t="s">
        <v>112</v>
      </c>
      <c r="K13" s="46">
        <v>0.46279999999999999</v>
      </c>
      <c r="L13" s="47" t="s">
        <v>113</v>
      </c>
    </row>
    <row r="14" spans="2:13">
      <c r="B14" s="53">
        <v>0</v>
      </c>
      <c r="D14" s="50" t="s">
        <v>114</v>
      </c>
      <c r="E14">
        <f>E9/E12</f>
        <v>4.4515612346179747</v>
      </c>
      <c r="F14">
        <f>F9/E12</f>
        <v>0</v>
      </c>
      <c r="G14" s="44"/>
      <c r="I14" s="50"/>
      <c r="J14">
        <f>J8*K13</f>
        <v>0</v>
      </c>
      <c r="K14" s="34" t="s">
        <v>62</v>
      </c>
      <c r="L14" s="44"/>
    </row>
    <row r="15" spans="2:13">
      <c r="B15" s="53">
        <v>0</v>
      </c>
      <c r="D15" s="63"/>
      <c r="E15" s="64"/>
      <c r="F15" s="31" t="s">
        <v>115</v>
      </c>
      <c r="G15" s="56"/>
      <c r="I15" s="50"/>
      <c r="K15" s="34"/>
      <c r="L15" s="44"/>
    </row>
    <row r="16" spans="2:13">
      <c r="B16" s="53">
        <v>0</v>
      </c>
      <c r="I16" s="50" t="s">
        <v>116</v>
      </c>
      <c r="J16" s="39" t="s">
        <v>112</v>
      </c>
      <c r="K16" s="34">
        <v>0.46279999999999999</v>
      </c>
      <c r="L16" s="44" t="s">
        <v>113</v>
      </c>
    </row>
    <row r="17" spans="2:12">
      <c r="B17" s="53">
        <v>0</v>
      </c>
      <c r="D17" s="483" t="s">
        <v>117</v>
      </c>
      <c r="E17" s="483"/>
      <c r="F17" s="483"/>
      <c r="G17" s="483"/>
      <c r="I17" s="50"/>
      <c r="J17">
        <f>J8*K16</f>
        <v>0</v>
      </c>
      <c r="K17" s="34" t="s">
        <v>62</v>
      </c>
      <c r="L17" s="44"/>
    </row>
    <row r="18" spans="2:12">
      <c r="B18" s="53"/>
      <c r="D18" s="50" t="s">
        <v>118</v>
      </c>
      <c r="E18" s="65">
        <f>ANALÍTICA_DES_!E24</f>
        <v>528</v>
      </c>
      <c r="F18" s="484" t="s">
        <v>119</v>
      </c>
      <c r="G18" s="484"/>
      <c r="I18" s="50"/>
      <c r="K18" s="34"/>
      <c r="L18" s="44"/>
    </row>
    <row r="19" spans="2:12">
      <c r="B19" s="53"/>
      <c r="D19" s="50" t="s">
        <v>120</v>
      </c>
      <c r="E19" s="65">
        <f>ANALÍTICA_DES_!E25</f>
        <v>2640</v>
      </c>
      <c r="F19" s="484" t="s">
        <v>119</v>
      </c>
      <c r="G19" s="484"/>
      <c r="I19" s="50" t="s">
        <v>121</v>
      </c>
      <c r="J19" s="39" t="s">
        <v>112</v>
      </c>
      <c r="K19" s="34">
        <v>3.2951700000000002</v>
      </c>
      <c r="L19" s="44" t="s">
        <v>122</v>
      </c>
    </row>
    <row r="20" spans="2:12">
      <c r="B20" s="53"/>
      <c r="D20" s="50" t="s">
        <v>123</v>
      </c>
      <c r="F20" s="484" t="s">
        <v>119</v>
      </c>
      <c r="G20" s="484"/>
      <c r="I20" s="50"/>
      <c r="J20">
        <f>J8*K19</f>
        <v>0</v>
      </c>
      <c r="K20" s="34" t="s">
        <v>62</v>
      </c>
      <c r="L20" s="44"/>
    </row>
    <row r="21" spans="2:12">
      <c r="B21" s="53"/>
      <c r="D21" s="27"/>
      <c r="G21" s="44"/>
      <c r="I21" s="50"/>
      <c r="K21" s="34"/>
      <c r="L21" s="44"/>
    </row>
    <row r="22" spans="2:12">
      <c r="B22" s="53"/>
      <c r="D22" s="27"/>
      <c r="G22" s="44"/>
      <c r="I22" s="57" t="s">
        <v>124</v>
      </c>
      <c r="J22" s="31">
        <f>J8</f>
        <v>0</v>
      </c>
      <c r="K22" s="58" t="s">
        <v>45</v>
      </c>
      <c r="L22" s="56"/>
    </row>
    <row r="23" spans="2:12">
      <c r="B23" s="53"/>
      <c r="D23" s="481" t="s">
        <v>125</v>
      </c>
      <c r="E23" s="481"/>
      <c r="F23" s="481"/>
      <c r="G23" s="481"/>
      <c r="H23" s="66"/>
      <c r="I23" s="39"/>
      <c r="K23" s="34"/>
    </row>
    <row r="24" spans="2:12">
      <c r="B24" s="53"/>
      <c r="I24" s="39"/>
      <c r="K24" s="34"/>
    </row>
    <row r="25" spans="2:12">
      <c r="B25" s="53"/>
      <c r="I25" s="39"/>
      <c r="K25" s="34"/>
    </row>
    <row r="26" spans="2:12">
      <c r="B26" s="53"/>
      <c r="I26" s="39"/>
      <c r="K26" s="34"/>
    </row>
    <row r="27" spans="2:12">
      <c r="B27" s="53"/>
      <c r="D27" s="67"/>
      <c r="E27" s="36"/>
      <c r="F27" s="36"/>
      <c r="G27" s="36"/>
      <c r="H27" s="68"/>
      <c r="K27" s="34"/>
    </row>
    <row r="28" spans="2:12">
      <c r="B28" s="53"/>
      <c r="D28" s="27"/>
      <c r="E28" s="39" t="s">
        <v>126</v>
      </c>
      <c r="F28" s="49">
        <v>0</v>
      </c>
      <c r="G28" t="s">
        <v>114</v>
      </c>
      <c r="H28" s="69"/>
      <c r="J28" s="54"/>
      <c r="K28" s="34"/>
    </row>
    <row r="29" spans="2:12">
      <c r="B29" s="53"/>
      <c r="D29" s="27"/>
      <c r="G29" t="s">
        <v>127</v>
      </c>
      <c r="H29" s="69"/>
      <c r="J29" s="70"/>
      <c r="K29" s="34"/>
    </row>
    <row r="30" spans="2:12">
      <c r="B30" s="53"/>
      <c r="D30" s="50" t="s">
        <v>128</v>
      </c>
      <c r="E30" s="39" t="s">
        <v>129</v>
      </c>
      <c r="F30" s="30">
        <f>(F29+E12)*F28</f>
        <v>0</v>
      </c>
      <c r="G30" t="s">
        <v>97</v>
      </c>
      <c r="H30" s="69"/>
      <c r="J30" s="70"/>
      <c r="K30" s="34"/>
    </row>
    <row r="31" spans="2:12">
      <c r="B31" s="53"/>
      <c r="D31" s="50" t="s">
        <v>128</v>
      </c>
      <c r="E31" s="39" t="s">
        <v>130</v>
      </c>
      <c r="F31">
        <f>((E12+(F29*2))*F28)</f>
        <v>0</v>
      </c>
      <c r="G31" t="s">
        <v>97</v>
      </c>
      <c r="H31" s="69"/>
      <c r="J31" s="39"/>
      <c r="K31" s="34"/>
    </row>
    <row r="32" spans="2:12">
      <c r="B32" s="53"/>
      <c r="D32" s="63"/>
      <c r="E32" s="31"/>
      <c r="F32" s="31"/>
      <c r="G32" s="31"/>
      <c r="H32" s="71"/>
      <c r="K32" s="34"/>
    </row>
    <row r="33" spans="2:11">
      <c r="B33" s="53"/>
      <c r="I33" s="39"/>
      <c r="K33" s="34"/>
    </row>
    <row r="34" spans="2:11">
      <c r="B34" s="53"/>
      <c r="D34" s="72" t="s">
        <v>131</v>
      </c>
      <c r="E34" s="73">
        <v>12</v>
      </c>
      <c r="I34" s="39"/>
      <c r="K34" s="34"/>
    </row>
    <row r="35" spans="2:11">
      <c r="B35" s="30"/>
      <c r="D35" s="72" t="s">
        <v>132</v>
      </c>
      <c r="E35" s="74">
        <f>ANALÍTICA_DES_!J115</f>
        <v>334892.65384599997</v>
      </c>
      <c r="I35" s="39"/>
      <c r="K35" s="34"/>
    </row>
    <row r="36" spans="2:11">
      <c r="B36" s="30"/>
      <c r="D36" s="72" t="s">
        <v>133</v>
      </c>
      <c r="E36" s="74">
        <f>ANALÍTICA_DES_!N114</f>
        <v>104319.71010000003</v>
      </c>
      <c r="I36" s="39"/>
      <c r="K36" s="34"/>
    </row>
    <row r="37" spans="2:11">
      <c r="B37" s="30"/>
      <c r="D37" s="72" t="s">
        <v>134</v>
      </c>
      <c r="E37" s="75">
        <f>E36/E35</f>
        <v>0.31150193622333483</v>
      </c>
      <c r="I37" s="39"/>
      <c r="K37" s="34"/>
    </row>
    <row r="38" spans="2:11">
      <c r="B38" s="30"/>
      <c r="D38" s="76" t="s">
        <v>135</v>
      </c>
      <c r="E38" s="77">
        <f>E9*E37</f>
        <v>356.57227126291838</v>
      </c>
      <c r="I38" s="39"/>
      <c r="K38" s="34"/>
    </row>
    <row r="39" spans="2:11">
      <c r="B39" s="30"/>
      <c r="D39" s="76" t="s">
        <v>135</v>
      </c>
      <c r="E39" s="77">
        <f>E38</f>
        <v>356.57227126291838</v>
      </c>
      <c r="I39" s="39"/>
      <c r="K39" s="34"/>
    </row>
  </sheetData>
  <mergeCells count="6">
    <mergeCell ref="D23:G23"/>
    <mergeCell ref="B1:H1"/>
    <mergeCell ref="D17:G17"/>
    <mergeCell ref="F18:G18"/>
    <mergeCell ref="F19:G19"/>
    <mergeCell ref="F20:G20"/>
  </mergeCells>
  <pageMargins left="0.51180555555555496" right="0.625" top="0.13888888888888901" bottom="0.13888888888888901" header="0" footer="0"/>
  <pageSetup paperSize="9" firstPageNumber="0" pageOrder="overThenDown" orientation="portrait" horizontalDpi="300" verticalDpi="300" r:id="rId1"/>
  <headerFooter>
    <oddHeader>&amp;C&amp;"Arial,Normal"&amp;10&amp;A</oddHeader>
    <oddFooter>&amp;C&amp;"Arial,Normal"&amp;10Página &amp;P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view="pageBreakPreview" zoomScaleNormal="60" zoomScaleSheetLayoutView="100" zoomScalePageLayoutView="75" workbookViewId="0">
      <selection activeCell="F19" sqref="F19"/>
    </sheetView>
  </sheetViews>
  <sheetFormatPr defaultRowHeight="15"/>
  <cols>
    <col min="1" max="1" width="17.140625"/>
    <col min="2" max="2" width="53.140625"/>
    <col min="3" max="3" width="20.28515625"/>
    <col min="4" max="4" width="16.140625"/>
    <col min="5" max="5" width="25.140625"/>
    <col min="6" max="6" width="14.5703125"/>
    <col min="7" max="7" width="19.140625"/>
  </cols>
  <sheetData>
    <row r="1" spans="1:7" s="10" customFormat="1" ht="15" customHeight="1">
      <c r="A1" s="485" t="s">
        <v>233</v>
      </c>
      <c r="B1" s="485"/>
      <c r="C1" s="485"/>
      <c r="D1" s="485"/>
      <c r="E1" s="485"/>
      <c r="F1" s="485"/>
      <c r="G1" s="485"/>
    </row>
    <row r="2" spans="1:7">
      <c r="A2" s="485"/>
      <c r="B2" s="485"/>
      <c r="C2" s="485"/>
      <c r="D2" s="485"/>
      <c r="E2" s="485"/>
      <c r="F2" s="485"/>
      <c r="G2" s="485"/>
    </row>
    <row r="3" spans="1:7">
      <c r="A3" s="485"/>
      <c r="B3" s="485"/>
      <c r="C3" s="485"/>
      <c r="D3" s="485"/>
      <c r="E3" s="485"/>
      <c r="F3" s="485"/>
      <c r="G3" s="485"/>
    </row>
    <row r="4" spans="1:7">
      <c r="A4" s="485"/>
      <c r="B4" s="485"/>
      <c r="C4" s="485"/>
      <c r="D4" s="485"/>
      <c r="E4" s="485"/>
      <c r="F4" s="485"/>
      <c r="G4" s="485"/>
    </row>
    <row r="5" spans="1:7" ht="15" customHeight="1">
      <c r="A5" s="486" t="s">
        <v>136</v>
      </c>
      <c r="B5" s="486"/>
      <c r="C5" s="78" t="s">
        <v>12</v>
      </c>
      <c r="D5" s="78" t="s">
        <v>137</v>
      </c>
      <c r="E5" s="78" t="s">
        <v>138</v>
      </c>
      <c r="F5" s="78" t="s">
        <v>139</v>
      </c>
      <c r="G5" s="78" t="s">
        <v>140</v>
      </c>
    </row>
    <row r="6" spans="1:7" ht="21" customHeight="1">
      <c r="A6" s="487" t="s">
        <v>141</v>
      </c>
      <c r="B6" s="487"/>
      <c r="C6" s="79"/>
      <c r="D6" s="79"/>
      <c r="E6" s="79"/>
      <c r="F6" s="79"/>
      <c r="G6" s="79"/>
    </row>
    <row r="7" spans="1:7" ht="3.6" customHeight="1">
      <c r="A7" s="13"/>
      <c r="B7" s="11"/>
      <c r="C7" s="11"/>
      <c r="D7" s="11"/>
      <c r="E7" s="11"/>
      <c r="F7" s="11"/>
      <c r="G7" s="14"/>
    </row>
    <row r="8" spans="1:7" ht="17.45" customHeight="1">
      <c r="A8" s="15" t="s">
        <v>69</v>
      </c>
      <c r="B8" s="16" t="s">
        <v>142</v>
      </c>
      <c r="C8" s="17" t="s">
        <v>19</v>
      </c>
      <c r="D8" s="18">
        <v>45532</v>
      </c>
      <c r="E8" s="17" t="s">
        <v>70</v>
      </c>
      <c r="F8" s="18" t="s">
        <v>22</v>
      </c>
      <c r="G8" s="19"/>
    </row>
    <row r="9" spans="1:7">
      <c r="A9" s="15" t="s">
        <v>71</v>
      </c>
      <c r="B9" s="441" t="str">
        <f>DADOS_!D4</f>
        <v>MANUTENÇÃO PREDIAL - REFORMA DAS ENFERMARIAS DO 1º PAVIMENTO + ABERTURA DE ESCADA DE EMERGÊNCIA</v>
      </c>
      <c r="C9" s="441"/>
      <c r="D9" s="441"/>
      <c r="E9" s="441"/>
      <c r="F9" s="441"/>
      <c r="G9" s="441"/>
    </row>
    <row r="10" spans="1:7" ht="15" customHeight="1">
      <c r="A10" s="15" t="s">
        <v>72</v>
      </c>
      <c r="B10" s="441" t="s">
        <v>143</v>
      </c>
      <c r="C10" s="441"/>
      <c r="D10" s="441"/>
      <c r="E10" s="441"/>
      <c r="F10" s="441"/>
      <c r="G10" s="441"/>
    </row>
    <row r="11" spans="1:7" ht="17.45" customHeight="1">
      <c r="A11" s="20" t="s">
        <v>73</v>
      </c>
      <c r="B11" s="443" t="s">
        <v>177</v>
      </c>
      <c r="C11" s="443"/>
      <c r="D11" s="21" t="s">
        <v>74</v>
      </c>
      <c r="E11" s="22" t="str">
        <f>DADOS_!D7</f>
        <v>02.529.964/0003-19</v>
      </c>
      <c r="F11" s="23"/>
      <c r="G11" s="24"/>
    </row>
    <row r="12" spans="1:7">
      <c r="A12" s="488" t="s">
        <v>289</v>
      </c>
      <c r="B12" s="488"/>
      <c r="C12" s="488"/>
      <c r="D12" s="488"/>
      <c r="E12" s="488"/>
      <c r="F12" s="488"/>
      <c r="G12" s="488"/>
    </row>
    <row r="13" spans="1:7">
      <c r="A13" s="488"/>
      <c r="B13" s="488"/>
      <c r="C13" s="488"/>
      <c r="D13" s="488"/>
      <c r="E13" s="488"/>
      <c r="F13" s="488"/>
      <c r="G13" s="488"/>
    </row>
    <row r="14" spans="1:7">
      <c r="A14" s="25"/>
      <c r="B14" s="116" t="s">
        <v>144</v>
      </c>
      <c r="C14" s="116" t="s">
        <v>145</v>
      </c>
      <c r="D14" s="116" t="s">
        <v>146</v>
      </c>
      <c r="E14" s="25"/>
      <c r="F14" s="25"/>
      <c r="G14" s="25"/>
    </row>
    <row r="15" spans="1:7">
      <c r="A15" s="25"/>
      <c r="B15" s="115" t="s">
        <v>147</v>
      </c>
      <c r="C15" s="117" t="s">
        <v>148</v>
      </c>
      <c r="D15" s="118">
        <v>0.04</v>
      </c>
      <c r="E15" s="25"/>
      <c r="F15" s="25"/>
      <c r="G15" s="25"/>
    </row>
    <row r="16" spans="1:7">
      <c r="A16" s="25"/>
      <c r="B16" s="115" t="s">
        <v>176</v>
      </c>
      <c r="C16" s="117" t="s">
        <v>91</v>
      </c>
      <c r="D16" s="118">
        <v>7.1999999999999995E-2</v>
      </c>
      <c r="E16" s="25"/>
      <c r="F16" s="25"/>
      <c r="G16" s="25"/>
    </row>
    <row r="17" spans="1:7">
      <c r="A17" s="25"/>
      <c r="B17" s="115" t="s">
        <v>149</v>
      </c>
      <c r="C17" s="117" t="s">
        <v>150</v>
      </c>
      <c r="D17" s="118">
        <v>1.1299999999999999E-2</v>
      </c>
      <c r="E17" s="25"/>
      <c r="F17" s="25"/>
      <c r="G17" s="25"/>
    </row>
    <row r="18" spans="1:7">
      <c r="A18" s="25"/>
      <c r="B18" s="115" t="s">
        <v>151</v>
      </c>
      <c r="C18" s="117" t="s">
        <v>152</v>
      </c>
      <c r="D18" s="118">
        <v>5.9999999999999995E-4</v>
      </c>
      <c r="E18" s="25"/>
      <c r="F18" s="25"/>
      <c r="G18" s="25"/>
    </row>
    <row r="19" spans="1:7">
      <c r="A19" s="25"/>
      <c r="B19" s="115" t="s">
        <v>153</v>
      </c>
      <c r="C19" s="117" t="s">
        <v>154</v>
      </c>
      <c r="D19" s="118">
        <v>5.9999999999999995E-4</v>
      </c>
      <c r="E19" s="25"/>
      <c r="F19" s="25"/>
      <c r="G19" s="25"/>
    </row>
    <row r="20" spans="1:7">
      <c r="A20" s="25"/>
      <c r="B20" s="115" t="s">
        <v>155</v>
      </c>
      <c r="C20" s="117" t="s">
        <v>156</v>
      </c>
      <c r="D20" s="118">
        <v>9.7000000000000003E-3</v>
      </c>
      <c r="E20" s="25"/>
      <c r="F20" s="25"/>
      <c r="G20" s="25"/>
    </row>
    <row r="21" spans="1:7">
      <c r="A21" s="25"/>
      <c r="B21" s="119" t="s">
        <v>157</v>
      </c>
      <c r="C21" s="120" t="s">
        <v>158</v>
      </c>
      <c r="D21" s="121">
        <v>0.03</v>
      </c>
      <c r="E21" s="25"/>
      <c r="F21" s="25"/>
      <c r="G21" s="25"/>
    </row>
    <row r="22" spans="1:7">
      <c r="A22" s="25"/>
      <c r="B22" s="119" t="s">
        <v>159</v>
      </c>
      <c r="C22" s="120" t="s">
        <v>160</v>
      </c>
      <c r="D22" s="121">
        <v>0.05</v>
      </c>
      <c r="E22" s="25"/>
      <c r="F22" s="25"/>
      <c r="G22" s="25"/>
    </row>
    <row r="23" spans="1:7">
      <c r="A23" s="25"/>
      <c r="B23" s="119" t="s">
        <v>166</v>
      </c>
      <c r="C23" s="120" t="s">
        <v>161</v>
      </c>
      <c r="D23" s="121">
        <v>0</v>
      </c>
      <c r="E23" s="25"/>
      <c r="F23" s="25"/>
      <c r="G23" s="25"/>
    </row>
    <row r="24" spans="1:7">
      <c r="A24" s="25"/>
      <c r="B24" s="119" t="s">
        <v>162</v>
      </c>
      <c r="C24" s="120" t="s">
        <v>162</v>
      </c>
      <c r="D24" s="121">
        <v>6.4999999999999997E-3</v>
      </c>
      <c r="E24" s="25"/>
      <c r="F24" s="25"/>
      <c r="G24" s="25"/>
    </row>
    <row r="25" spans="1:7">
      <c r="A25" s="25"/>
      <c r="B25" s="122" t="s">
        <v>163</v>
      </c>
      <c r="C25" s="123" t="s">
        <v>164</v>
      </c>
      <c r="D25" s="124">
        <v>0.24717567842364541</v>
      </c>
      <c r="E25" s="25"/>
      <c r="F25" s="25"/>
      <c r="G25" s="25"/>
    </row>
    <row r="26" spans="1:7">
      <c r="A26" s="489"/>
      <c r="B26" s="489"/>
      <c r="C26" s="489"/>
      <c r="D26" s="489"/>
      <c r="E26" s="489"/>
      <c r="F26" s="489"/>
      <c r="G26" s="489"/>
    </row>
    <row r="27" spans="1:7" ht="15" customHeight="1">
      <c r="A27" s="485" t="s">
        <v>409</v>
      </c>
      <c r="B27" s="485"/>
      <c r="C27" s="485"/>
      <c r="D27" s="485"/>
      <c r="E27" s="485"/>
      <c r="F27" s="485"/>
      <c r="G27" s="485"/>
    </row>
    <row r="28" spans="1:7">
      <c r="A28" s="485"/>
      <c r="B28" s="485"/>
      <c r="C28" s="485"/>
      <c r="D28" s="485"/>
      <c r="E28" s="485"/>
      <c r="F28" s="485"/>
      <c r="G28" s="485"/>
    </row>
    <row r="29" spans="1:7">
      <c r="A29" s="485"/>
      <c r="B29" s="485"/>
      <c r="C29" s="485"/>
      <c r="D29" s="485"/>
      <c r="E29" s="485"/>
      <c r="F29" s="485"/>
      <c r="G29" s="485"/>
    </row>
    <row r="30" spans="1:7">
      <c r="A30" s="485"/>
      <c r="B30" s="485"/>
      <c r="C30" s="485"/>
      <c r="D30" s="485"/>
      <c r="E30" s="485"/>
      <c r="F30" s="485"/>
      <c r="G30" s="485"/>
    </row>
    <row r="31" spans="1:7" ht="15" customHeight="1">
      <c r="A31" s="486" t="s">
        <v>136</v>
      </c>
      <c r="B31" s="486"/>
      <c r="C31" s="78" t="s">
        <v>12</v>
      </c>
      <c r="D31" s="78" t="s">
        <v>137</v>
      </c>
      <c r="E31" s="78" t="s">
        <v>138</v>
      </c>
      <c r="F31" s="78" t="s">
        <v>139</v>
      </c>
      <c r="G31" s="78" t="s">
        <v>140</v>
      </c>
    </row>
    <row r="32" spans="1:7">
      <c r="A32" s="487" t="str">
        <f>A6</f>
        <v>HOSPITAL MATERNO INFANTIL</v>
      </c>
      <c r="B32" s="487"/>
      <c r="C32" s="79"/>
      <c r="D32" s="79"/>
      <c r="E32" s="79"/>
      <c r="F32" s="79"/>
      <c r="G32" s="79" t="s">
        <v>165</v>
      </c>
    </row>
    <row r="33" spans="1:7">
      <c r="A33" s="13"/>
      <c r="B33" s="11"/>
      <c r="C33" s="11"/>
      <c r="D33" s="11"/>
      <c r="E33" s="11"/>
      <c r="F33" s="11"/>
      <c r="G33" s="14"/>
    </row>
    <row r="34" spans="1:7">
      <c r="A34" s="15" t="s">
        <v>69</v>
      </c>
      <c r="B34" s="16"/>
      <c r="C34" s="17" t="s">
        <v>19</v>
      </c>
      <c r="D34" s="18"/>
      <c r="E34" s="17" t="s">
        <v>70</v>
      </c>
      <c r="F34" s="18" t="s">
        <v>22</v>
      </c>
      <c r="G34" s="19"/>
    </row>
    <row r="35" spans="1:7">
      <c r="A35" s="15" t="s">
        <v>71</v>
      </c>
      <c r="B35" s="491"/>
      <c r="C35" s="491"/>
      <c r="D35" s="491"/>
      <c r="E35" s="491"/>
      <c r="F35" s="491"/>
      <c r="G35" s="491"/>
    </row>
    <row r="36" spans="1:7">
      <c r="A36" s="15" t="s">
        <v>72</v>
      </c>
      <c r="B36" s="491"/>
      <c r="C36" s="491"/>
      <c r="D36" s="491"/>
      <c r="E36" s="491"/>
      <c r="F36" s="491"/>
      <c r="G36" s="491"/>
    </row>
    <row r="37" spans="1:7">
      <c r="A37" s="20" t="s">
        <v>73</v>
      </c>
      <c r="B37" s="492"/>
      <c r="C37" s="492"/>
      <c r="D37" s="21" t="s">
        <v>74</v>
      </c>
      <c r="E37" s="22"/>
      <c r="F37" s="23"/>
      <c r="G37" s="24"/>
    </row>
    <row r="38" spans="1:7">
      <c r="A38" s="488" t="s">
        <v>290</v>
      </c>
      <c r="B38" s="488"/>
      <c r="C38" s="488"/>
      <c r="D38" s="488"/>
      <c r="E38" s="488"/>
      <c r="F38" s="488"/>
      <c r="G38" s="488"/>
    </row>
    <row r="39" spans="1:7">
      <c r="A39" s="488"/>
      <c r="B39" s="488"/>
      <c r="C39" s="488"/>
      <c r="D39" s="488"/>
      <c r="E39" s="488"/>
      <c r="F39" s="488"/>
      <c r="G39" s="488"/>
    </row>
    <row r="40" spans="1:7">
      <c r="A40" s="25"/>
      <c r="B40" s="80" t="s">
        <v>144</v>
      </c>
      <c r="C40" s="80" t="s">
        <v>145</v>
      </c>
      <c r="D40" s="80" t="s">
        <v>146</v>
      </c>
      <c r="E40" s="25"/>
      <c r="F40" s="25"/>
      <c r="G40" s="25"/>
    </row>
    <row r="41" spans="1:7">
      <c r="A41" s="25"/>
      <c r="B41" s="128" t="s">
        <v>147</v>
      </c>
      <c r="C41" s="129" t="s">
        <v>148</v>
      </c>
      <c r="D41" s="130">
        <v>3.4500000000000003E-2</v>
      </c>
      <c r="E41" s="25"/>
      <c r="F41" s="25"/>
      <c r="G41" s="25"/>
    </row>
    <row r="42" spans="1:7">
      <c r="A42" s="25"/>
      <c r="B42" s="128" t="s">
        <v>176</v>
      </c>
      <c r="C42" s="129" t="s">
        <v>91</v>
      </c>
      <c r="D42" s="130">
        <v>4.8000000000000001E-2</v>
      </c>
      <c r="E42" s="25"/>
      <c r="F42" s="25"/>
      <c r="G42" s="25"/>
    </row>
    <row r="43" spans="1:7">
      <c r="A43" s="25"/>
      <c r="B43" s="128" t="s">
        <v>149</v>
      </c>
      <c r="C43" s="129" t="s">
        <v>150</v>
      </c>
      <c r="D43" s="130">
        <v>1.1299999999999999E-2</v>
      </c>
      <c r="E43" s="25"/>
      <c r="F43" s="25"/>
      <c r="G43" s="25"/>
    </row>
    <row r="44" spans="1:7">
      <c r="A44" s="25"/>
      <c r="B44" s="128" t="s">
        <v>151</v>
      </c>
      <c r="C44" s="129" t="s">
        <v>152</v>
      </c>
      <c r="D44" s="130">
        <v>2.9999999999999997E-4</v>
      </c>
      <c r="E44" s="25"/>
      <c r="F44" s="25"/>
      <c r="G44" s="25"/>
    </row>
    <row r="45" spans="1:7">
      <c r="A45" s="25"/>
      <c r="B45" s="128" t="s">
        <v>153</v>
      </c>
      <c r="C45" s="129" t="s">
        <v>154</v>
      </c>
      <c r="D45" s="130">
        <v>2.9999999999999997E-4</v>
      </c>
      <c r="E45" s="25"/>
      <c r="F45" s="25"/>
      <c r="G45" s="25"/>
    </row>
    <row r="46" spans="1:7">
      <c r="A46" s="25"/>
      <c r="B46" s="128" t="s">
        <v>155</v>
      </c>
      <c r="C46" s="129" t="s">
        <v>156</v>
      </c>
      <c r="D46" s="130">
        <v>5.5999999999999999E-3</v>
      </c>
      <c r="E46" s="25"/>
      <c r="F46" s="25"/>
      <c r="G46" s="25"/>
    </row>
    <row r="47" spans="1:7">
      <c r="A47" s="25"/>
      <c r="B47" s="131" t="s">
        <v>157</v>
      </c>
      <c r="C47" s="132" t="s">
        <v>158</v>
      </c>
      <c r="D47" s="133">
        <v>0.03</v>
      </c>
      <c r="E47" s="25"/>
      <c r="F47" s="25"/>
      <c r="G47" s="25"/>
    </row>
    <row r="48" spans="1:7">
      <c r="A48" s="25"/>
      <c r="B48" s="131" t="s">
        <v>159</v>
      </c>
      <c r="C48" s="132" t="s">
        <v>160</v>
      </c>
      <c r="D48" s="133">
        <v>0</v>
      </c>
      <c r="E48" s="25"/>
      <c r="F48" s="25"/>
      <c r="G48" s="25"/>
    </row>
    <row r="49" spans="1:7">
      <c r="A49" s="25"/>
      <c r="B49" s="131" t="s">
        <v>166</v>
      </c>
      <c r="C49" s="132" t="s">
        <v>161</v>
      </c>
      <c r="D49" s="133">
        <v>0</v>
      </c>
      <c r="E49" s="25"/>
      <c r="F49" s="25"/>
      <c r="G49" s="25"/>
    </row>
    <row r="50" spans="1:7">
      <c r="A50" s="25"/>
      <c r="B50" s="131" t="s">
        <v>162</v>
      </c>
      <c r="C50" s="132" t="s">
        <v>162</v>
      </c>
      <c r="D50" s="133">
        <v>6.4999999999999997E-3</v>
      </c>
      <c r="E50" s="25"/>
      <c r="F50" s="25"/>
      <c r="G50" s="25"/>
    </row>
    <row r="51" spans="1:7">
      <c r="A51" s="25"/>
      <c r="B51" s="134" t="s">
        <v>163</v>
      </c>
      <c r="C51" s="135" t="s">
        <v>164</v>
      </c>
      <c r="D51" s="136">
        <v>0.14476179105345111</v>
      </c>
      <c r="E51" s="25"/>
      <c r="F51" s="25"/>
      <c r="G51" s="25"/>
    </row>
    <row r="52" spans="1:7">
      <c r="A52" s="25"/>
      <c r="B52" s="25"/>
      <c r="C52" s="25"/>
      <c r="D52" s="81"/>
      <c r="E52" s="25"/>
      <c r="F52" s="25"/>
      <c r="G52" s="25"/>
    </row>
    <row r="53" spans="1:7" ht="18.75">
      <c r="A53" s="25"/>
      <c r="B53" s="490" t="s">
        <v>167</v>
      </c>
      <c r="C53" s="490"/>
      <c r="D53" s="490"/>
      <c r="E53" s="490"/>
      <c r="F53" s="490"/>
      <c r="G53" s="490"/>
    </row>
    <row r="54" spans="1:7">
      <c r="A54" s="25"/>
      <c r="B54" s="25"/>
      <c r="C54" s="25"/>
      <c r="D54" s="81"/>
      <c r="E54" s="25"/>
      <c r="F54" s="25"/>
      <c r="G54" s="25"/>
    </row>
    <row r="55" spans="1:7">
      <c r="A55" s="25"/>
      <c r="B55" s="25"/>
      <c r="C55" s="25"/>
      <c r="D55" s="81"/>
      <c r="E55" s="25"/>
      <c r="F55" s="25"/>
      <c r="G55" s="25"/>
    </row>
    <row r="56" spans="1:7">
      <c r="C56" s="25"/>
      <c r="D56" s="81"/>
      <c r="E56" s="25"/>
      <c r="F56" s="25"/>
      <c r="G56" s="25"/>
    </row>
    <row r="57" spans="1:7">
      <c r="A57" s="25"/>
      <c r="B57" s="25"/>
      <c r="C57" s="25"/>
      <c r="D57" s="81"/>
      <c r="E57" s="25"/>
      <c r="F57" s="25"/>
      <c r="G57" s="25"/>
    </row>
    <row r="58" spans="1:7">
      <c r="A58" s="25"/>
      <c r="B58" s="25"/>
      <c r="C58" s="25"/>
      <c r="D58" s="81"/>
      <c r="E58" s="25"/>
      <c r="F58" s="25"/>
      <c r="G58" s="25"/>
    </row>
    <row r="59" spans="1:7">
      <c r="A59" s="25"/>
      <c r="B59" s="25"/>
      <c r="C59" s="25"/>
      <c r="D59" s="81"/>
      <c r="E59" s="25"/>
      <c r="F59" s="25"/>
      <c r="G59" s="25"/>
    </row>
    <row r="60" spans="1:7">
      <c r="A60" s="25"/>
      <c r="B60" s="25"/>
      <c r="C60" s="25"/>
      <c r="D60" s="81"/>
      <c r="E60" s="25"/>
      <c r="F60" s="25"/>
      <c r="G60" s="25"/>
    </row>
  </sheetData>
  <mergeCells count="16">
    <mergeCell ref="B53:G53"/>
    <mergeCell ref="A32:B32"/>
    <mergeCell ref="B35:G35"/>
    <mergeCell ref="B36:G36"/>
    <mergeCell ref="B37:C37"/>
    <mergeCell ref="A38:G39"/>
    <mergeCell ref="B11:C11"/>
    <mergeCell ref="A12:G13"/>
    <mergeCell ref="A26:G26"/>
    <mergeCell ref="A27:G30"/>
    <mergeCell ref="A31:B31"/>
    <mergeCell ref="A1:G4"/>
    <mergeCell ref="A5:B5"/>
    <mergeCell ref="A6:B6"/>
    <mergeCell ref="B9:G9"/>
    <mergeCell ref="B10:G10"/>
  </mergeCells>
  <printOptions horizontalCentered="1"/>
  <pageMargins left="0" right="0" top="0.78749999999999998" bottom="0" header="0.51180555555555496" footer="0.51180555555555496"/>
  <pageSetup paperSize="9" scale="69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workbookViewId="0">
      <selection activeCell="A10" sqref="A10:B10"/>
    </sheetView>
  </sheetViews>
  <sheetFormatPr defaultRowHeight="15"/>
  <cols>
    <col min="1" max="1" width="9.5703125" style="321" customWidth="1"/>
    <col min="2" max="2" width="54.28515625" style="321" customWidth="1"/>
    <col min="3" max="3" width="12.85546875" style="321" customWidth="1"/>
    <col min="4" max="4" width="9.140625" style="321" customWidth="1"/>
    <col min="5" max="16" width="11.28515625" style="321" customWidth="1"/>
    <col min="17" max="17" width="17.5703125" style="321" hidden="1" customWidth="1"/>
    <col min="18" max="18" width="16" style="321" customWidth="1"/>
    <col min="19" max="20" width="12.140625" style="321" hidden="1" customWidth="1"/>
    <col min="21" max="21" width="19.42578125" style="321" customWidth="1"/>
    <col min="22" max="22" width="31.85546875" style="321" customWidth="1"/>
    <col min="23" max="1030" width="9.28515625" style="321" customWidth="1"/>
    <col min="1031" max="1031" width="12.5703125" style="321" customWidth="1"/>
    <col min="1032" max="1033" width="9.28515625" style="321" customWidth="1"/>
    <col min="1034" max="1034" width="12.5703125" style="321" customWidth="1"/>
    <col min="1035" max="16384" width="9.140625" style="321"/>
  </cols>
  <sheetData>
    <row r="1" spans="1:21">
      <c r="A1" s="493"/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5"/>
    </row>
    <row r="2" spans="1:21">
      <c r="A2" s="496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8"/>
    </row>
    <row r="3" spans="1:21">
      <c r="A3" s="496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8"/>
    </row>
    <row r="4" spans="1:21">
      <c r="A4" s="496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8"/>
    </row>
    <row r="5" spans="1:21" ht="15.75" thickBot="1">
      <c r="A5" s="496"/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7"/>
      <c r="O5" s="497"/>
      <c r="P5" s="497"/>
      <c r="Q5" s="497"/>
      <c r="R5" s="498"/>
    </row>
    <row r="6" spans="1:21" hidden="1">
      <c r="A6" s="496"/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8"/>
    </row>
    <row r="7" spans="1:21" ht="15.75" hidden="1" thickBot="1">
      <c r="A7" s="499"/>
      <c r="B7" s="500"/>
      <c r="C7" s="500"/>
      <c r="D7" s="500"/>
      <c r="E7" s="500"/>
      <c r="F7" s="500"/>
      <c r="G7" s="500"/>
      <c r="H7" s="500"/>
      <c r="I7" s="500"/>
      <c r="J7" s="500"/>
      <c r="K7" s="500"/>
      <c r="L7" s="500"/>
      <c r="M7" s="500"/>
      <c r="N7" s="500"/>
      <c r="O7" s="500"/>
      <c r="P7" s="500"/>
      <c r="Q7" s="500"/>
      <c r="R7" s="501"/>
    </row>
    <row r="8" spans="1:21" ht="45">
      <c r="A8" s="346" t="s">
        <v>291</v>
      </c>
      <c r="B8" s="347" t="s">
        <v>407</v>
      </c>
      <c r="C8" s="348"/>
      <c r="D8" s="502" t="s">
        <v>292</v>
      </c>
      <c r="E8" s="502"/>
      <c r="F8" s="502"/>
      <c r="G8" s="502"/>
      <c r="H8" s="502"/>
      <c r="I8" s="502"/>
      <c r="J8" s="502"/>
      <c r="K8" s="502"/>
      <c r="L8" s="502"/>
      <c r="M8" s="502"/>
      <c r="N8" s="502"/>
      <c r="O8" s="502"/>
      <c r="P8" s="502"/>
      <c r="Q8" s="502"/>
      <c r="R8" s="503"/>
    </row>
    <row r="9" spans="1:21" ht="30" hidden="1">
      <c r="A9" s="349" t="s">
        <v>293</v>
      </c>
      <c r="B9" s="322" t="s">
        <v>141</v>
      </c>
      <c r="C9" s="323"/>
      <c r="D9" s="504"/>
      <c r="E9" s="504"/>
      <c r="F9" s="504"/>
      <c r="G9" s="504"/>
      <c r="H9" s="504"/>
      <c r="I9" s="504"/>
      <c r="J9" s="504"/>
      <c r="K9" s="504"/>
      <c r="L9" s="504"/>
      <c r="M9" s="504"/>
      <c r="N9" s="504"/>
      <c r="O9" s="504"/>
      <c r="P9" s="504"/>
      <c r="Q9" s="504"/>
      <c r="R9" s="505"/>
    </row>
    <row r="10" spans="1:21">
      <c r="A10" s="506" t="s">
        <v>294</v>
      </c>
      <c r="B10" s="507"/>
      <c r="C10" s="324"/>
      <c r="D10" s="504"/>
      <c r="E10" s="504"/>
      <c r="F10" s="504"/>
      <c r="G10" s="504"/>
      <c r="H10" s="504"/>
      <c r="I10" s="504"/>
      <c r="J10" s="504"/>
      <c r="K10" s="504"/>
      <c r="L10" s="504"/>
      <c r="M10" s="504"/>
      <c r="N10" s="504"/>
      <c r="O10" s="504"/>
      <c r="P10" s="504"/>
      <c r="Q10" s="504"/>
      <c r="R10" s="505"/>
    </row>
    <row r="11" spans="1:21" ht="18">
      <c r="A11" s="508" t="s">
        <v>295</v>
      </c>
      <c r="B11" s="509"/>
      <c r="C11" s="509"/>
      <c r="D11" s="509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10"/>
    </row>
    <row r="12" spans="1:21" ht="15.75">
      <c r="A12" s="511" t="s">
        <v>296</v>
      </c>
      <c r="B12" s="512" t="s">
        <v>297</v>
      </c>
      <c r="C12" s="325" t="s">
        <v>90</v>
      </c>
      <c r="D12" s="325" t="s">
        <v>298</v>
      </c>
      <c r="E12" s="513" t="s">
        <v>299</v>
      </c>
      <c r="F12" s="514"/>
      <c r="G12" s="514"/>
      <c r="H12" s="514"/>
      <c r="I12" s="514"/>
      <c r="J12" s="514"/>
      <c r="K12" s="514"/>
      <c r="L12" s="514"/>
      <c r="M12" s="514"/>
      <c r="N12" s="514"/>
      <c r="O12" s="514"/>
      <c r="P12" s="514"/>
      <c r="Q12" s="515"/>
      <c r="R12" s="350" t="s">
        <v>90</v>
      </c>
    </row>
    <row r="13" spans="1:21">
      <c r="A13" s="511"/>
      <c r="B13" s="512"/>
      <c r="C13" s="325" t="s">
        <v>300</v>
      </c>
      <c r="D13" s="325" t="s">
        <v>90</v>
      </c>
      <c r="E13" s="325" t="s">
        <v>301</v>
      </c>
      <c r="F13" s="325" t="s">
        <v>302</v>
      </c>
      <c r="G13" s="325" t="s">
        <v>303</v>
      </c>
      <c r="H13" s="325" t="s">
        <v>304</v>
      </c>
      <c r="I13" s="325" t="s">
        <v>305</v>
      </c>
      <c r="J13" s="325" t="s">
        <v>306</v>
      </c>
      <c r="K13" s="325" t="s">
        <v>307</v>
      </c>
      <c r="L13" s="325" t="s">
        <v>308</v>
      </c>
      <c r="M13" s="325" t="s">
        <v>309</v>
      </c>
      <c r="N13" s="325" t="s">
        <v>310</v>
      </c>
      <c r="O13" s="325" t="s">
        <v>311</v>
      </c>
      <c r="P13" s="325" t="s">
        <v>312</v>
      </c>
      <c r="Q13" s="326" t="s">
        <v>313</v>
      </c>
      <c r="R13" s="350" t="s">
        <v>314</v>
      </c>
    </row>
    <row r="14" spans="1:21">
      <c r="A14" s="528"/>
      <c r="B14" s="529"/>
      <c r="C14" s="529"/>
      <c r="D14" s="529"/>
      <c r="E14" s="529"/>
      <c r="F14" s="529"/>
      <c r="G14" s="529"/>
      <c r="H14" s="529"/>
      <c r="I14" s="529"/>
      <c r="J14" s="529"/>
      <c r="K14" s="529"/>
      <c r="L14" s="529"/>
      <c r="M14" s="529"/>
      <c r="N14" s="529"/>
      <c r="O14" s="529"/>
      <c r="P14" s="529"/>
      <c r="Q14" s="529"/>
      <c r="R14" s="530"/>
    </row>
    <row r="15" spans="1:21" ht="15.75" customHeight="1">
      <c r="A15" s="351" t="s">
        <v>315</v>
      </c>
      <c r="B15" s="327" t="s">
        <v>321</v>
      </c>
      <c r="C15" s="328">
        <f>SUM(ANALÍTICA_DES_!L22,ANALÍTICA_DES_!L26)</f>
        <v>135686.84</v>
      </c>
      <c r="D15" s="329">
        <f>C15/C40</f>
        <v>0.32539272499983696</v>
      </c>
      <c r="E15" s="330"/>
      <c r="F15" s="330"/>
      <c r="G15" s="330"/>
      <c r="H15" s="330"/>
      <c r="I15" s="330"/>
      <c r="J15" s="330"/>
      <c r="K15" s="330"/>
      <c r="L15" s="330"/>
      <c r="M15" s="330"/>
      <c r="N15" s="330"/>
      <c r="O15" s="330"/>
      <c r="P15" s="330"/>
      <c r="Q15" s="330"/>
      <c r="R15" s="352"/>
      <c r="T15" s="331" t="e">
        <f>IF(#REF!=0,0,1)</f>
        <v>#REF!</v>
      </c>
      <c r="U15" s="332"/>
    </row>
    <row r="16" spans="1:21" ht="15" customHeight="1">
      <c r="A16" s="522"/>
      <c r="B16" s="523"/>
      <c r="C16" s="523"/>
      <c r="D16" s="524"/>
      <c r="E16" s="333">
        <v>0.12</v>
      </c>
      <c r="F16" s="333">
        <v>7.5999999999999998E-2</v>
      </c>
      <c r="G16" s="333">
        <v>7.5999999999999998E-2</v>
      </c>
      <c r="H16" s="333">
        <v>7.5999999999999998E-2</v>
      </c>
      <c r="I16" s="333">
        <v>7.5999999999999998E-2</v>
      </c>
      <c r="J16" s="333">
        <v>7.5999999999999998E-2</v>
      </c>
      <c r="K16" s="333">
        <v>7.5999999999999998E-2</v>
      </c>
      <c r="L16" s="333">
        <v>7.5999999999999998E-2</v>
      </c>
      <c r="M16" s="333">
        <v>7.5999999999999998E-2</v>
      </c>
      <c r="N16" s="333">
        <v>7.5999999999999998E-2</v>
      </c>
      <c r="O16" s="333">
        <v>7.5999999999999998E-2</v>
      </c>
      <c r="P16" s="333">
        <v>0.12</v>
      </c>
      <c r="Q16" s="333">
        <v>0.25</v>
      </c>
      <c r="R16" s="353">
        <f>SUM(E16:P16)</f>
        <v>0.99999999999999978</v>
      </c>
      <c r="T16" s="331" t="e">
        <f>T15</f>
        <v>#REF!</v>
      </c>
      <c r="U16" s="332"/>
    </row>
    <row r="17" spans="1:22" ht="15" customHeight="1">
      <c r="A17" s="525"/>
      <c r="B17" s="526"/>
      <c r="C17" s="526"/>
      <c r="D17" s="527"/>
      <c r="E17" s="334">
        <f>$C15*E16</f>
        <v>16282.4208</v>
      </c>
      <c r="F17" s="334">
        <f>$C15*F16</f>
        <v>10312.199839999999</v>
      </c>
      <c r="G17" s="334">
        <f>$C15*G16</f>
        <v>10312.199839999999</v>
      </c>
      <c r="H17" s="334">
        <f t="shared" ref="H17:P17" si="0">$C15*H16</f>
        <v>10312.199839999999</v>
      </c>
      <c r="I17" s="334">
        <f t="shared" si="0"/>
        <v>10312.199839999999</v>
      </c>
      <c r="J17" s="334">
        <f t="shared" si="0"/>
        <v>10312.199839999999</v>
      </c>
      <c r="K17" s="334">
        <f t="shared" si="0"/>
        <v>10312.199839999999</v>
      </c>
      <c r="L17" s="334">
        <f t="shared" si="0"/>
        <v>10312.199839999999</v>
      </c>
      <c r="M17" s="334">
        <f t="shared" si="0"/>
        <v>10312.199839999999</v>
      </c>
      <c r="N17" s="334">
        <f t="shared" si="0"/>
        <v>10312.199839999999</v>
      </c>
      <c r="O17" s="334">
        <f t="shared" si="0"/>
        <v>10312.199839999999</v>
      </c>
      <c r="P17" s="334">
        <f t="shared" si="0"/>
        <v>16282.4208</v>
      </c>
      <c r="Q17" s="334">
        <f>$C15*Q16</f>
        <v>33921.71</v>
      </c>
      <c r="R17" s="364">
        <f>SUM(E17:P17)</f>
        <v>135686.84</v>
      </c>
      <c r="T17" s="331" t="e">
        <f>T15</f>
        <v>#REF!</v>
      </c>
      <c r="U17" s="332"/>
      <c r="V17" s="335"/>
    </row>
    <row r="18" spans="1:22" ht="15.75" hidden="1">
      <c r="A18" s="351"/>
      <c r="B18" s="336"/>
      <c r="C18" s="328"/>
      <c r="D18" s="329"/>
      <c r="E18" s="330"/>
      <c r="F18" s="330"/>
      <c r="G18" s="330"/>
      <c r="H18" s="329"/>
      <c r="I18" s="329"/>
      <c r="J18" s="329"/>
      <c r="K18" s="329"/>
      <c r="L18" s="329"/>
      <c r="M18" s="329"/>
      <c r="N18" s="330"/>
      <c r="O18" s="330"/>
      <c r="P18" s="330"/>
      <c r="Q18" s="330"/>
      <c r="R18" s="354"/>
      <c r="S18" s="335" t="e">
        <f>#REF!</f>
        <v>#REF!</v>
      </c>
      <c r="T18" s="331" t="e">
        <f>IF(#REF!=0,0,1)</f>
        <v>#REF!</v>
      </c>
      <c r="U18" s="332"/>
    </row>
    <row r="19" spans="1:22" ht="15.75" hidden="1">
      <c r="A19" s="355"/>
      <c r="B19" s="336"/>
      <c r="C19" s="328"/>
      <c r="D19" s="329"/>
      <c r="E19" s="333"/>
      <c r="F19" s="333"/>
      <c r="G19" s="333"/>
      <c r="H19" s="329"/>
      <c r="I19" s="329"/>
      <c r="J19" s="329"/>
      <c r="K19" s="329"/>
      <c r="L19" s="329"/>
      <c r="M19" s="329"/>
      <c r="N19" s="333"/>
      <c r="O19" s="333"/>
      <c r="P19" s="333"/>
      <c r="Q19" s="333"/>
      <c r="R19" s="353">
        <f>SUM(N19:Q19)</f>
        <v>0</v>
      </c>
      <c r="T19" s="331" t="e">
        <f>T18</f>
        <v>#REF!</v>
      </c>
      <c r="U19" s="332"/>
    </row>
    <row r="20" spans="1:22" ht="15.75" hidden="1">
      <c r="A20" s="356"/>
      <c r="B20" s="336"/>
      <c r="C20" s="328"/>
      <c r="D20" s="329"/>
      <c r="E20" s="334">
        <f>$C18*E19</f>
        <v>0</v>
      </c>
      <c r="F20" s="334"/>
      <c r="G20" s="334">
        <f>$C18*G19</f>
        <v>0</v>
      </c>
      <c r="H20" s="329"/>
      <c r="I20" s="329"/>
      <c r="J20" s="329"/>
      <c r="K20" s="329"/>
      <c r="L20" s="329"/>
      <c r="M20" s="329"/>
      <c r="N20" s="334"/>
      <c r="O20" s="334"/>
      <c r="P20" s="334"/>
      <c r="Q20" s="334">
        <f>$C18*Q19</f>
        <v>0</v>
      </c>
      <c r="R20" s="354">
        <f>SUM(N20:Q20)</f>
        <v>0</v>
      </c>
      <c r="T20" s="331" t="e">
        <f>T18</f>
        <v>#REF!</v>
      </c>
      <c r="U20" s="332"/>
      <c r="V20" s="335"/>
    </row>
    <row r="21" spans="1:22" ht="15.75">
      <c r="A21" s="351" t="s">
        <v>316</v>
      </c>
      <c r="B21" s="327" t="s">
        <v>322</v>
      </c>
      <c r="C21" s="328">
        <f>SUM(ANALÍTICA_DES_!L62,ANALÍTICA_DES_!L57,ANALÍTICA_DES_!L49,ANALÍTICA_DES_!L39)</f>
        <v>260717.74</v>
      </c>
      <c r="D21" s="329">
        <f>C21/C40</f>
        <v>0.62523127426653158</v>
      </c>
      <c r="E21" s="330"/>
      <c r="F21" s="330"/>
      <c r="G21" s="330"/>
      <c r="H21" s="330"/>
      <c r="I21" s="330"/>
      <c r="J21" s="330"/>
      <c r="K21" s="330"/>
      <c r="L21" s="330"/>
      <c r="M21" s="330"/>
      <c r="N21" s="330"/>
      <c r="O21" s="330"/>
      <c r="P21" s="330"/>
      <c r="Q21" s="330"/>
      <c r="R21" s="352"/>
      <c r="T21" s="331" t="e">
        <f>IF(#REF!=0,0,1)</f>
        <v>#REF!</v>
      </c>
      <c r="U21" s="332"/>
    </row>
    <row r="22" spans="1:22" ht="15" customHeight="1">
      <c r="A22" s="531"/>
      <c r="B22" s="516"/>
      <c r="C22" s="517"/>
      <c r="D22" s="518"/>
      <c r="E22" s="333">
        <v>0.05</v>
      </c>
      <c r="F22" s="333">
        <v>0.09</v>
      </c>
      <c r="G22" s="333">
        <v>0.09</v>
      </c>
      <c r="H22" s="333">
        <v>0.09</v>
      </c>
      <c r="I22" s="333">
        <v>0.09</v>
      </c>
      <c r="J22" s="333">
        <v>0.09</v>
      </c>
      <c r="K22" s="333">
        <v>0.09</v>
      </c>
      <c r="L22" s="333">
        <v>0.09</v>
      </c>
      <c r="M22" s="333">
        <v>0.09</v>
      </c>
      <c r="N22" s="333">
        <v>0.09</v>
      </c>
      <c r="O22" s="333">
        <v>0.09</v>
      </c>
      <c r="P22" s="333">
        <v>0.05</v>
      </c>
      <c r="Q22" s="333"/>
      <c r="R22" s="353">
        <f>SUM(E22:Q22)</f>
        <v>0.99999999999999989</v>
      </c>
      <c r="T22" s="331" t="e">
        <f>T21</f>
        <v>#REF!</v>
      </c>
      <c r="U22" s="332"/>
    </row>
    <row r="23" spans="1:22" ht="15" customHeight="1">
      <c r="A23" s="532"/>
      <c r="B23" s="519"/>
      <c r="C23" s="520"/>
      <c r="D23" s="521"/>
      <c r="E23" s="334">
        <f>$C21*E22</f>
        <v>13035.887000000001</v>
      </c>
      <c r="F23" s="334">
        <f>$C21*F22</f>
        <v>23464.596599999997</v>
      </c>
      <c r="G23" s="334">
        <f>$C21*G22</f>
        <v>23464.596599999997</v>
      </c>
      <c r="H23" s="334">
        <f t="shared" ref="H23:P23" si="1">$C21*H22</f>
        <v>23464.596599999997</v>
      </c>
      <c r="I23" s="334">
        <f t="shared" si="1"/>
        <v>23464.596599999997</v>
      </c>
      <c r="J23" s="334">
        <f t="shared" si="1"/>
        <v>23464.596599999997</v>
      </c>
      <c r="K23" s="334">
        <f t="shared" si="1"/>
        <v>23464.596599999997</v>
      </c>
      <c r="L23" s="334">
        <f t="shared" si="1"/>
        <v>23464.596599999997</v>
      </c>
      <c r="M23" s="334">
        <f t="shared" si="1"/>
        <v>23464.596599999997</v>
      </c>
      <c r="N23" s="334">
        <f t="shared" si="1"/>
        <v>23464.596599999997</v>
      </c>
      <c r="O23" s="334">
        <f t="shared" si="1"/>
        <v>23464.596599999997</v>
      </c>
      <c r="P23" s="334">
        <f t="shared" si="1"/>
        <v>13035.887000000001</v>
      </c>
      <c r="Q23" s="334">
        <f>$C21*Q22</f>
        <v>0</v>
      </c>
      <c r="R23" s="364">
        <f>SUM(E23:P23)</f>
        <v>260717.7399999999</v>
      </c>
      <c r="S23" s="335" t="e">
        <f>#REF!</f>
        <v>#REF!</v>
      </c>
      <c r="T23" s="331" t="e">
        <f>T21</f>
        <v>#REF!</v>
      </c>
      <c r="U23" s="332"/>
      <c r="V23" s="335"/>
    </row>
    <row r="24" spans="1:22" ht="15" hidden="1" customHeight="1">
      <c r="A24" s="536"/>
      <c r="B24" s="343"/>
      <c r="C24" s="344"/>
      <c r="D24" s="345"/>
      <c r="E24" s="330"/>
      <c r="F24" s="330"/>
      <c r="G24" s="330"/>
      <c r="H24" s="329"/>
      <c r="I24" s="329"/>
      <c r="J24" s="329"/>
      <c r="K24" s="329"/>
      <c r="L24" s="329"/>
      <c r="M24" s="329"/>
      <c r="N24" s="330"/>
      <c r="O24" s="330"/>
      <c r="P24" s="330"/>
      <c r="Q24" s="330"/>
      <c r="R24" s="354"/>
      <c r="T24" s="331" t="e">
        <f>IF(#REF!=0,0,1)</f>
        <v>#REF!</v>
      </c>
      <c r="U24" s="332"/>
    </row>
    <row r="25" spans="1:22" ht="15" hidden="1" customHeight="1">
      <c r="A25" s="536"/>
      <c r="B25" s="343"/>
      <c r="C25" s="344"/>
      <c r="D25" s="345"/>
      <c r="E25" s="333"/>
      <c r="F25" s="333"/>
      <c r="G25" s="333"/>
      <c r="H25" s="329"/>
      <c r="I25" s="329"/>
      <c r="J25" s="329"/>
      <c r="K25" s="329"/>
      <c r="L25" s="329"/>
      <c r="M25" s="329"/>
      <c r="N25" s="333"/>
      <c r="O25" s="333"/>
      <c r="P25" s="333"/>
      <c r="Q25" s="333"/>
      <c r="R25" s="353">
        <f>SUM(N25:Q25)</f>
        <v>0</v>
      </c>
      <c r="T25" s="331" t="e">
        <f>T24</f>
        <v>#REF!</v>
      </c>
      <c r="U25" s="332"/>
    </row>
    <row r="26" spans="1:22" ht="15" hidden="1" customHeight="1">
      <c r="A26" s="536"/>
      <c r="B26" s="343"/>
      <c r="C26" s="344"/>
      <c r="D26" s="345"/>
      <c r="E26" s="334">
        <f>$C24*E25</f>
        <v>0</v>
      </c>
      <c r="F26" s="334"/>
      <c r="G26" s="334">
        <f>$C24*G25</f>
        <v>0</v>
      </c>
      <c r="H26" s="329"/>
      <c r="I26" s="329"/>
      <c r="J26" s="329"/>
      <c r="K26" s="329"/>
      <c r="L26" s="329"/>
      <c r="M26" s="329"/>
      <c r="N26" s="334"/>
      <c r="O26" s="334"/>
      <c r="P26" s="334"/>
      <c r="Q26" s="334">
        <f>$C24*Q25</f>
        <v>0</v>
      </c>
      <c r="R26" s="354">
        <f>SUM(N26:Q26)</f>
        <v>0</v>
      </c>
      <c r="T26" s="331" t="e">
        <f>T24</f>
        <v>#REF!</v>
      </c>
      <c r="U26" s="332"/>
      <c r="V26" s="335"/>
    </row>
    <row r="27" spans="1:22" ht="15" hidden="1" customHeight="1">
      <c r="A27" s="536"/>
      <c r="B27" s="343"/>
      <c r="C27" s="344"/>
      <c r="D27" s="345"/>
      <c r="E27" s="330"/>
      <c r="F27" s="330"/>
      <c r="G27" s="330"/>
      <c r="H27" s="329"/>
      <c r="I27" s="329"/>
      <c r="J27" s="329"/>
      <c r="K27" s="329"/>
      <c r="L27" s="329"/>
      <c r="M27" s="329"/>
      <c r="N27" s="330"/>
      <c r="O27" s="330"/>
      <c r="P27" s="330"/>
      <c r="Q27" s="330"/>
      <c r="R27" s="354"/>
      <c r="T27" s="331" t="e">
        <f>IF(#REF!=0,0,1)</f>
        <v>#REF!</v>
      </c>
      <c r="U27" s="332"/>
    </row>
    <row r="28" spans="1:22" ht="15" hidden="1" customHeight="1">
      <c r="A28" s="536"/>
      <c r="B28" s="343"/>
      <c r="C28" s="344"/>
      <c r="D28" s="345"/>
      <c r="E28" s="333">
        <v>0</v>
      </c>
      <c r="F28" s="333"/>
      <c r="G28" s="333">
        <v>0</v>
      </c>
      <c r="H28" s="329"/>
      <c r="I28" s="329"/>
      <c r="J28" s="329"/>
      <c r="K28" s="329"/>
      <c r="L28" s="329"/>
      <c r="M28" s="329"/>
      <c r="N28" s="333"/>
      <c r="O28" s="333"/>
      <c r="P28" s="333"/>
      <c r="Q28" s="333">
        <v>0</v>
      </c>
      <c r="R28" s="353">
        <f>SUM(N28:Q28)</f>
        <v>0</v>
      </c>
      <c r="T28" s="331" t="e">
        <f>T27</f>
        <v>#REF!</v>
      </c>
      <c r="U28" s="332"/>
    </row>
    <row r="29" spans="1:22" ht="15" hidden="1" customHeight="1">
      <c r="A29" s="536"/>
      <c r="B29" s="343"/>
      <c r="C29" s="344"/>
      <c r="D29" s="345"/>
      <c r="E29" s="334">
        <f>$C27*E28</f>
        <v>0</v>
      </c>
      <c r="F29" s="334"/>
      <c r="G29" s="334">
        <f>$C27*G28</f>
        <v>0</v>
      </c>
      <c r="H29" s="329"/>
      <c r="I29" s="329"/>
      <c r="J29" s="329"/>
      <c r="K29" s="329"/>
      <c r="L29" s="329"/>
      <c r="M29" s="329"/>
      <c r="N29" s="334"/>
      <c r="O29" s="334"/>
      <c r="P29" s="334"/>
      <c r="Q29" s="334">
        <f>$C27*Q28</f>
        <v>0</v>
      </c>
      <c r="R29" s="354">
        <f>SUM(N29:Q29)</f>
        <v>0</v>
      </c>
      <c r="T29" s="331" t="e">
        <f>T27</f>
        <v>#REF!</v>
      </c>
      <c r="U29" s="332"/>
      <c r="V29" s="335"/>
    </row>
    <row r="30" spans="1:22" ht="15" hidden="1" customHeight="1">
      <c r="A30" s="536"/>
      <c r="B30" s="343"/>
      <c r="C30" s="344"/>
      <c r="D30" s="345"/>
      <c r="E30" s="330"/>
      <c r="F30" s="330"/>
      <c r="G30" s="330"/>
      <c r="H30" s="329"/>
      <c r="I30" s="329"/>
      <c r="J30" s="329"/>
      <c r="K30" s="329"/>
      <c r="L30" s="329"/>
      <c r="M30" s="329"/>
      <c r="N30" s="330"/>
      <c r="O30" s="330"/>
      <c r="P30" s="330"/>
      <c r="Q30" s="330"/>
      <c r="R30" s="354"/>
      <c r="T30" s="331" t="e">
        <f>IF(#REF!=0,0,1)</f>
        <v>#REF!</v>
      </c>
      <c r="U30" s="332"/>
    </row>
    <row r="31" spans="1:22" ht="15" hidden="1" customHeight="1">
      <c r="A31" s="536"/>
      <c r="B31" s="343"/>
      <c r="C31" s="344"/>
      <c r="D31" s="345"/>
      <c r="E31" s="333">
        <v>0</v>
      </c>
      <c r="F31" s="333"/>
      <c r="G31" s="333">
        <v>0</v>
      </c>
      <c r="H31" s="329"/>
      <c r="I31" s="329"/>
      <c r="J31" s="329"/>
      <c r="K31" s="329"/>
      <c r="L31" s="329"/>
      <c r="M31" s="329"/>
      <c r="N31" s="333"/>
      <c r="O31" s="333"/>
      <c r="P31" s="333"/>
      <c r="Q31" s="333">
        <v>0</v>
      </c>
      <c r="R31" s="353">
        <f>SUM(N31:Q31)</f>
        <v>0</v>
      </c>
      <c r="T31" s="331" t="e">
        <f>T30</f>
        <v>#REF!</v>
      </c>
      <c r="U31" s="332"/>
    </row>
    <row r="32" spans="1:22" ht="15" hidden="1" customHeight="1">
      <c r="A32" s="536"/>
      <c r="B32" s="343"/>
      <c r="C32" s="344"/>
      <c r="D32" s="345"/>
      <c r="E32" s="334">
        <f>$C30*E31</f>
        <v>0</v>
      </c>
      <c r="F32" s="334"/>
      <c r="G32" s="334">
        <f>$C30*G31</f>
        <v>0</v>
      </c>
      <c r="H32" s="329"/>
      <c r="I32" s="329"/>
      <c r="J32" s="329"/>
      <c r="K32" s="329"/>
      <c r="L32" s="329"/>
      <c r="M32" s="329"/>
      <c r="N32" s="334"/>
      <c r="O32" s="334"/>
      <c r="P32" s="334"/>
      <c r="Q32" s="334">
        <f>$C30*Q31</f>
        <v>0</v>
      </c>
      <c r="R32" s="354">
        <f>SUM(N32:Q32)</f>
        <v>0</v>
      </c>
      <c r="T32" s="331" t="e">
        <f>T30</f>
        <v>#REF!</v>
      </c>
      <c r="U32" s="332"/>
      <c r="V32" s="335"/>
    </row>
    <row r="33" spans="1:22" ht="15" hidden="1" customHeight="1">
      <c r="A33" s="536"/>
      <c r="B33" s="343"/>
      <c r="C33" s="344"/>
      <c r="D33" s="345"/>
      <c r="E33" s="330"/>
      <c r="F33" s="330"/>
      <c r="G33" s="330"/>
      <c r="H33" s="329"/>
      <c r="I33" s="329"/>
      <c r="J33" s="329"/>
      <c r="K33" s="329"/>
      <c r="L33" s="329"/>
      <c r="M33" s="329"/>
      <c r="N33" s="330"/>
      <c r="O33" s="330"/>
      <c r="P33" s="330"/>
      <c r="Q33" s="330"/>
      <c r="R33" s="354"/>
      <c r="T33" s="331" t="e">
        <f>IF(#REF!=0,0,1)</f>
        <v>#REF!</v>
      </c>
      <c r="U33" s="332"/>
    </row>
    <row r="34" spans="1:22" ht="15" hidden="1" customHeight="1">
      <c r="A34" s="536"/>
      <c r="B34" s="343"/>
      <c r="C34" s="344"/>
      <c r="D34" s="345"/>
      <c r="E34" s="333">
        <v>0</v>
      </c>
      <c r="F34" s="333"/>
      <c r="G34" s="333">
        <v>0</v>
      </c>
      <c r="H34" s="329"/>
      <c r="I34" s="329"/>
      <c r="J34" s="329"/>
      <c r="K34" s="329"/>
      <c r="L34" s="329"/>
      <c r="M34" s="329"/>
      <c r="N34" s="333"/>
      <c r="O34" s="333"/>
      <c r="P34" s="333"/>
      <c r="Q34" s="333">
        <v>0</v>
      </c>
      <c r="R34" s="353">
        <f>SUM(N34:Q34)</f>
        <v>0</v>
      </c>
      <c r="T34" s="331" t="e">
        <f>T33</f>
        <v>#REF!</v>
      </c>
      <c r="U34" s="332"/>
    </row>
    <row r="35" spans="1:22" ht="15" hidden="1" customHeight="1">
      <c r="A35" s="536"/>
      <c r="B35" s="343"/>
      <c r="C35" s="344"/>
      <c r="D35" s="345"/>
      <c r="E35" s="334">
        <f>$C33*E34</f>
        <v>0</v>
      </c>
      <c r="F35" s="334"/>
      <c r="G35" s="334">
        <f>$C33*G34</f>
        <v>0</v>
      </c>
      <c r="H35" s="329"/>
      <c r="I35" s="329"/>
      <c r="J35" s="329"/>
      <c r="K35" s="329"/>
      <c r="L35" s="329"/>
      <c r="M35" s="329"/>
      <c r="N35" s="334"/>
      <c r="O35" s="334"/>
      <c r="P35" s="334"/>
      <c r="Q35" s="334">
        <f>$C33*Q34</f>
        <v>0</v>
      </c>
      <c r="R35" s="354">
        <f>SUM(N35:Q35)</f>
        <v>0</v>
      </c>
      <c r="T35" s="331" t="e">
        <f>T33</f>
        <v>#REF!</v>
      </c>
      <c r="U35" s="332"/>
      <c r="V35" s="335"/>
    </row>
    <row r="36" spans="1:22" ht="15" customHeight="1">
      <c r="A36" s="351" t="s">
        <v>406</v>
      </c>
      <c r="B36" s="327" t="s">
        <v>361</v>
      </c>
      <c r="C36" s="328">
        <f>ANALÍTICA_DES_!L113+ANALÍTICA_DES_!L110+ANALÍTICA_DES_!L104+ANALÍTICA_DES_!L99+ANALÍTICA_DES_!L95+ANALÍTICA_DES_!L89+ANALÍTICA_DES_!L83+ANALÍTICA_DES_!L78</f>
        <v>20589.499999999996</v>
      </c>
      <c r="D36" s="329">
        <f>C36/C40</f>
        <v>4.9376000733631513E-2</v>
      </c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52"/>
      <c r="T36" s="331"/>
      <c r="U36" s="332"/>
      <c r="V36" s="335"/>
    </row>
    <row r="37" spans="1:22" ht="15" customHeight="1">
      <c r="A37" s="531"/>
      <c r="B37" s="516"/>
      <c r="C37" s="517"/>
      <c r="D37" s="518"/>
      <c r="E37" s="333">
        <v>1</v>
      </c>
      <c r="F37" s="333">
        <v>0</v>
      </c>
      <c r="G37" s="333">
        <v>0</v>
      </c>
      <c r="H37" s="333">
        <v>0</v>
      </c>
      <c r="I37" s="333">
        <v>0</v>
      </c>
      <c r="J37" s="333">
        <v>0</v>
      </c>
      <c r="K37" s="333">
        <v>0</v>
      </c>
      <c r="L37" s="333">
        <v>0</v>
      </c>
      <c r="M37" s="333">
        <v>0</v>
      </c>
      <c r="N37" s="333">
        <v>0</v>
      </c>
      <c r="O37" s="333">
        <v>0</v>
      </c>
      <c r="P37" s="333">
        <v>0</v>
      </c>
      <c r="Q37" s="333"/>
      <c r="R37" s="353">
        <f>SUM(E37:Q37)</f>
        <v>1</v>
      </c>
      <c r="T37" s="331"/>
      <c r="U37" s="332"/>
      <c r="V37" s="335"/>
    </row>
    <row r="38" spans="1:22" ht="15" customHeight="1">
      <c r="A38" s="532"/>
      <c r="B38" s="519"/>
      <c r="C38" s="520"/>
      <c r="D38" s="521"/>
      <c r="E38" s="334">
        <f>$C36*E37</f>
        <v>20589.499999999996</v>
      </c>
      <c r="F38" s="334">
        <f>$C36*F37</f>
        <v>0</v>
      </c>
      <c r="G38" s="334">
        <f>$C36*G37</f>
        <v>0</v>
      </c>
      <c r="H38" s="334">
        <f t="shared" ref="H38:P38" si="2">$C36*H37</f>
        <v>0</v>
      </c>
      <c r="I38" s="334">
        <f t="shared" si="2"/>
        <v>0</v>
      </c>
      <c r="J38" s="334">
        <f t="shared" si="2"/>
        <v>0</v>
      </c>
      <c r="K38" s="334">
        <f t="shared" si="2"/>
        <v>0</v>
      </c>
      <c r="L38" s="334">
        <f t="shared" si="2"/>
        <v>0</v>
      </c>
      <c r="M38" s="334">
        <f t="shared" si="2"/>
        <v>0</v>
      </c>
      <c r="N38" s="334">
        <f t="shared" si="2"/>
        <v>0</v>
      </c>
      <c r="O38" s="334">
        <f t="shared" si="2"/>
        <v>0</v>
      </c>
      <c r="P38" s="334">
        <f t="shared" si="2"/>
        <v>0</v>
      </c>
      <c r="Q38" s="334">
        <f>$C36*Q37</f>
        <v>0</v>
      </c>
      <c r="R38" s="364">
        <f>SUM(E38:P38)</f>
        <v>20589.499999999996</v>
      </c>
      <c r="T38" s="331">
        <v>1</v>
      </c>
      <c r="U38" s="332"/>
    </row>
    <row r="39" spans="1:22" ht="15" customHeight="1">
      <c r="A39" s="536"/>
      <c r="B39" s="337" t="s">
        <v>317</v>
      </c>
      <c r="C39" s="338"/>
      <c r="D39" s="329"/>
      <c r="E39" s="339">
        <f>E17+E23+E38</f>
        <v>49907.807799999995</v>
      </c>
      <c r="F39" s="339">
        <f t="shared" ref="F39:P39" si="3">F17+F23</f>
        <v>33776.796439999998</v>
      </c>
      <c r="G39" s="339">
        <f t="shared" si="3"/>
        <v>33776.796439999998</v>
      </c>
      <c r="H39" s="339">
        <f t="shared" si="3"/>
        <v>33776.796439999998</v>
      </c>
      <c r="I39" s="339">
        <f t="shared" si="3"/>
        <v>33776.796439999998</v>
      </c>
      <c r="J39" s="339">
        <f t="shared" si="3"/>
        <v>33776.796439999998</v>
      </c>
      <c r="K39" s="339">
        <f t="shared" si="3"/>
        <v>33776.796439999998</v>
      </c>
      <c r="L39" s="339">
        <f t="shared" si="3"/>
        <v>33776.796439999998</v>
      </c>
      <c r="M39" s="339">
        <f t="shared" si="3"/>
        <v>33776.796439999998</v>
      </c>
      <c r="N39" s="339">
        <f t="shared" si="3"/>
        <v>33776.796439999998</v>
      </c>
      <c r="O39" s="339">
        <f t="shared" si="3"/>
        <v>33776.796439999998</v>
      </c>
      <c r="P39" s="339">
        <f t="shared" si="3"/>
        <v>29318.307800000002</v>
      </c>
      <c r="Q39" s="339" t="e">
        <f>Q17+Q23+#REF!+#REF!</f>
        <v>#REF!</v>
      </c>
      <c r="R39" s="357">
        <f>P40</f>
        <v>416994.08</v>
      </c>
      <c r="T39" s="331">
        <v>1</v>
      </c>
      <c r="U39" s="332"/>
      <c r="V39" s="335"/>
    </row>
    <row r="40" spans="1:22" ht="15" customHeight="1">
      <c r="A40" s="536"/>
      <c r="B40" s="337" t="s">
        <v>318</v>
      </c>
      <c r="C40" s="328">
        <f>SUM(C15:C36)</f>
        <v>416994.07999999996</v>
      </c>
      <c r="D40" s="340">
        <f>SUM(D15:D36)</f>
        <v>1</v>
      </c>
      <c r="E40" s="339">
        <f>E39</f>
        <v>49907.807799999995</v>
      </c>
      <c r="F40" s="339">
        <f>E40+F39</f>
        <v>83684.604239999986</v>
      </c>
      <c r="G40" s="339">
        <f>F40+G39</f>
        <v>117461.40067999999</v>
      </c>
      <c r="H40" s="339">
        <f>G40+H39</f>
        <v>151238.19712</v>
      </c>
      <c r="I40" s="339">
        <f t="shared" ref="I40:P40" si="4">H40+I39</f>
        <v>185014.99356</v>
      </c>
      <c r="J40" s="339">
        <f t="shared" si="4"/>
        <v>218791.79</v>
      </c>
      <c r="K40" s="339">
        <f t="shared" si="4"/>
        <v>252568.58644000001</v>
      </c>
      <c r="L40" s="339">
        <f t="shared" si="4"/>
        <v>286345.38287999999</v>
      </c>
      <c r="M40" s="339">
        <f t="shared" si="4"/>
        <v>320122.17932</v>
      </c>
      <c r="N40" s="339">
        <f t="shared" si="4"/>
        <v>353898.97576</v>
      </c>
      <c r="O40" s="339">
        <f t="shared" si="4"/>
        <v>387675.77220000001</v>
      </c>
      <c r="P40" s="339">
        <f t="shared" si="4"/>
        <v>416994.08</v>
      </c>
      <c r="Q40" s="339">
        <v>0</v>
      </c>
      <c r="R40" s="357"/>
      <c r="T40" s="331">
        <v>1</v>
      </c>
      <c r="U40" s="332"/>
      <c r="V40" s="335"/>
    </row>
    <row r="41" spans="1:22" ht="15" customHeight="1">
      <c r="A41" s="536"/>
      <c r="B41" s="337" t="s">
        <v>319</v>
      </c>
      <c r="C41" s="341"/>
      <c r="D41" s="329"/>
      <c r="E41" s="342">
        <f>E39/$C$40</f>
        <v>0.11968469144693852</v>
      </c>
      <c r="F41" s="342">
        <f>F39/$C$40</f>
        <v>8.1000661783975456E-2</v>
      </c>
      <c r="G41" s="342">
        <f>G39/$C$40</f>
        <v>8.1000661783975456E-2</v>
      </c>
      <c r="H41" s="342">
        <f t="shared" ref="H41:P41" si="5">H39/$C$40</f>
        <v>8.1000661783975456E-2</v>
      </c>
      <c r="I41" s="342">
        <f t="shared" si="5"/>
        <v>8.1000661783975456E-2</v>
      </c>
      <c r="J41" s="342">
        <f t="shared" si="5"/>
        <v>8.1000661783975456E-2</v>
      </c>
      <c r="K41" s="342">
        <f t="shared" si="5"/>
        <v>8.1000661783975456E-2</v>
      </c>
      <c r="L41" s="342">
        <f t="shared" si="5"/>
        <v>8.1000661783975456E-2</v>
      </c>
      <c r="M41" s="342">
        <f t="shared" si="5"/>
        <v>8.1000661783975456E-2</v>
      </c>
      <c r="N41" s="342">
        <f t="shared" si="5"/>
        <v>8.1000661783975456E-2</v>
      </c>
      <c r="O41" s="342">
        <f t="shared" si="5"/>
        <v>8.1000661783975456E-2</v>
      </c>
      <c r="P41" s="342">
        <f t="shared" si="5"/>
        <v>7.0308690713307018E-2</v>
      </c>
      <c r="Q41" s="342" t="e">
        <f>Q39/$C$40</f>
        <v>#REF!</v>
      </c>
      <c r="R41" s="358">
        <f>P42</f>
        <v>1.0000000000000002</v>
      </c>
      <c r="T41" s="331">
        <v>1</v>
      </c>
      <c r="U41" s="332"/>
    </row>
    <row r="42" spans="1:22" ht="15" customHeight="1" thickBot="1">
      <c r="A42" s="537"/>
      <c r="B42" s="359" t="s">
        <v>320</v>
      </c>
      <c r="C42" s="360"/>
      <c r="D42" s="361"/>
      <c r="E42" s="362">
        <f>E40/$C$40</f>
        <v>0.11968469144693852</v>
      </c>
      <c r="F42" s="362">
        <f>F41+E42</f>
        <v>0.20068535323091397</v>
      </c>
      <c r="G42" s="362">
        <f>G41+F42</f>
        <v>0.28168601501488943</v>
      </c>
      <c r="H42" s="362">
        <f t="shared" ref="H42:P42" si="6">H41+G42</f>
        <v>0.3626866767988649</v>
      </c>
      <c r="I42" s="362">
        <f t="shared" si="6"/>
        <v>0.44368733858284037</v>
      </c>
      <c r="J42" s="362">
        <f t="shared" si="6"/>
        <v>0.52468800036681584</v>
      </c>
      <c r="K42" s="362">
        <f t="shared" si="6"/>
        <v>0.60568866215079131</v>
      </c>
      <c r="L42" s="362">
        <f t="shared" si="6"/>
        <v>0.68668932393476678</v>
      </c>
      <c r="M42" s="362">
        <f t="shared" si="6"/>
        <v>0.76768998571874225</v>
      </c>
      <c r="N42" s="362">
        <f t="shared" si="6"/>
        <v>0.84869064750271772</v>
      </c>
      <c r="O42" s="362">
        <f t="shared" si="6"/>
        <v>0.92969130928669319</v>
      </c>
      <c r="P42" s="362">
        <f t="shared" si="6"/>
        <v>1.0000000000000002</v>
      </c>
      <c r="Q42" s="362">
        <f>Q40/$C$40</f>
        <v>0</v>
      </c>
      <c r="R42" s="363"/>
      <c r="T42" s="331">
        <v>1</v>
      </c>
      <c r="U42" s="332"/>
    </row>
    <row r="44" spans="1:22" hidden="1"/>
  </sheetData>
  <mergeCells count="13">
    <mergeCell ref="B22:D23"/>
    <mergeCell ref="A16:D17"/>
    <mergeCell ref="A14:R14"/>
    <mergeCell ref="A22:A23"/>
    <mergeCell ref="A37:A38"/>
    <mergeCell ref="B37:D38"/>
    <mergeCell ref="A1:R7"/>
    <mergeCell ref="D8:R10"/>
    <mergeCell ref="A10:B10"/>
    <mergeCell ref="A11:R11"/>
    <mergeCell ref="A12:A13"/>
    <mergeCell ref="B12:B13"/>
    <mergeCell ref="E12:Q12"/>
  </mergeCells>
  <pageMargins left="0.511811024" right="0.511811024" top="0.78740157499999996" bottom="0.78740157499999996" header="0.31496062000000002" footer="0.31496062000000002"/>
  <pageSetup paperSize="9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6</vt:i4>
      </vt:variant>
    </vt:vector>
  </HeadingPairs>
  <TitlesOfParts>
    <vt:vector size="14" baseType="lpstr">
      <vt:lpstr>DADOS_</vt:lpstr>
      <vt:lpstr>ANALÍTICA_DES_</vt:lpstr>
      <vt:lpstr>MEMORIAL_DE_CALCULO_ADMINIST</vt:lpstr>
      <vt:lpstr>MEMORIAL DE CÁLCULOS</vt:lpstr>
      <vt:lpstr>MEMORIAL DE CÁLCULO - ESCADA E.</vt:lpstr>
      <vt:lpstr>CAFÉ_DA_MANHÃ</vt:lpstr>
      <vt:lpstr>CALCULO_BDI_DESONERADO</vt:lpstr>
      <vt:lpstr>CRONOGRAMA FÍSICO FINANCEIRO</vt:lpstr>
      <vt:lpstr>ANALÍTICA_DES_!Area_de_impressao</vt:lpstr>
      <vt:lpstr>CALCULO_BDI_DESONERADO!Area_de_impressao</vt:lpstr>
      <vt:lpstr>'CRONOGRAMA FÍSICO FINANCEIRO'!Area_de_impressao</vt:lpstr>
      <vt:lpstr>'MEMORIAL DE CÁLCULO - ESCADA E.'!Area_de_impressao</vt:lpstr>
      <vt:lpstr>'MEMORIAL DE CÁLCULOS'!Area_de_impressao</vt:lpstr>
      <vt:lpstr>MEMORIAL_DE_CALCULO_ADMINIST!Area_de_impressao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Filho</dc:creator>
  <dc:description/>
  <cp:lastModifiedBy>Alvaro Henrique Silva e Vasconcelos</cp:lastModifiedBy>
  <cp:revision>121</cp:revision>
  <cp:lastPrinted>2024-09-16T16:59:22Z</cp:lastPrinted>
  <dcterms:created xsi:type="dcterms:W3CDTF">2018-05-07T23:08:50Z</dcterms:created>
  <dcterms:modified xsi:type="dcterms:W3CDTF">2024-09-16T16:59:35Z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